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2년 계약\입찰공고\환경관리소\공사\촉매 제작구매 및 교체공사\진짜진짜\공고문\"/>
    </mc:Choice>
  </mc:AlternateContent>
  <xr:revisionPtr revIDLastSave="0" documentId="13_ncr:1_{7B76E6FA-0868-49D9-80E6-F294F53AE726}" xr6:coauthVersionLast="36" xr6:coauthVersionMax="36" xr10:uidLastSave="{00000000-0000-0000-0000-000000000000}"/>
  <bookViews>
    <workbookView xWindow="0" yWindow="0" windowWidth="28800" windowHeight="11520" tabRatio="914" activeTab="2" xr2:uid="{00000000-000D-0000-FFFF-FFFF00000000}"/>
  </bookViews>
  <sheets>
    <sheet name="원가" sheetId="34" r:id="rId1"/>
    <sheet name="내역서" sheetId="37" r:id="rId2"/>
    <sheet name="물량" sheetId="31" r:id="rId3"/>
    <sheet name="일위대가" sheetId="36" r:id="rId4"/>
    <sheet name="내역서2222" sheetId="30" state="hidden" r:id="rId5"/>
    <sheet name="일위대가222" sheetId="4" state="hidden" r:id="rId6"/>
  </sheets>
  <definedNames>
    <definedName name="_xlnm._FilterDatabase" localSheetId="3" hidden="1">일위대가!$H$29:$I$33</definedName>
    <definedName name="_xlnm.Print_Area" localSheetId="1">내역서!$B$1:$O$14</definedName>
    <definedName name="_xlnm.Print_Area" localSheetId="4">내역서2222!$B$1:$O$47</definedName>
    <definedName name="_xlnm.Print_Area" localSheetId="2">물량!$B$1:$M$20</definedName>
    <definedName name="_xlnm.Print_Area" localSheetId="0">원가!$B$1:$J$31</definedName>
    <definedName name="_xlnm.Print_Area" localSheetId="3">일위대가!$B$1:$M$33</definedName>
    <definedName name="_xlnm.Print_Area" localSheetId="5">일위대가222!$B$5:$M$81</definedName>
    <definedName name="_xlnm.Print_Titles" localSheetId="1">내역서!$5:$6</definedName>
    <definedName name="_xlnm.Print_Titles" localSheetId="4">내역서2222!$5:$6</definedName>
    <definedName name="_xlnm.Print_Titles" localSheetId="2">물량!$5:$6</definedName>
    <definedName name="_xlnm.Print_Titles" localSheetId="3">일위대가!$5:$6</definedName>
    <definedName name="_xlnm.Print_Titles" localSheetId="5">일위대가222!$5:$6</definedName>
  </definedNames>
  <calcPr calcId="191029"/>
</workbook>
</file>

<file path=xl/calcChain.xml><?xml version="1.0" encoding="utf-8"?>
<calcChain xmlns="http://schemas.openxmlformats.org/spreadsheetml/2006/main">
  <c r="M8" i="31" l="1"/>
  <c r="B18" i="36" l="1"/>
  <c r="B15" i="36"/>
  <c r="D8" i="37" l="1"/>
  <c r="B8" i="36"/>
  <c r="M12" i="31" l="1"/>
  <c r="D7" i="37"/>
  <c r="N90" i="36" l="1"/>
  <c r="N112" i="36" l="1"/>
  <c r="H113" i="36"/>
  <c r="E112" i="36"/>
  <c r="K110" i="36"/>
  <c r="H109" i="36"/>
  <c r="H108" i="36"/>
  <c r="E107" i="36"/>
  <c r="E109" i="36" s="1"/>
  <c r="E9" i="4"/>
  <c r="E10" i="4" s="1"/>
  <c r="F44" i="30"/>
  <c r="H77" i="4"/>
  <c r="H23" i="30"/>
  <c r="H24" i="30"/>
  <c r="H29" i="30"/>
  <c r="F16" i="30"/>
  <c r="G9" i="30"/>
  <c r="M9" i="30" s="1"/>
  <c r="H18" i="4"/>
  <c r="H17" i="4"/>
  <c r="H16" i="4"/>
  <c r="H15" i="4"/>
  <c r="H14" i="4"/>
  <c r="E17" i="4"/>
  <c r="O15" i="4"/>
  <c r="O16" i="4"/>
  <c r="O17" i="4"/>
  <c r="O18" i="4"/>
  <c r="O14" i="4"/>
  <c r="E13" i="4"/>
  <c r="E14" i="4" s="1"/>
  <c r="C13" i="4"/>
  <c r="D71" i="4"/>
  <c r="F43" i="30" s="1"/>
  <c r="H34" i="4"/>
  <c r="H30" i="4"/>
  <c r="H29" i="4"/>
  <c r="H10" i="4"/>
  <c r="H9" i="4"/>
  <c r="H24" i="4"/>
  <c r="H23" i="4"/>
  <c r="D8" i="4"/>
  <c r="C8" i="4"/>
  <c r="H72" i="4"/>
  <c r="H74" i="4"/>
  <c r="H73" i="4"/>
  <c r="H69" i="4"/>
  <c r="D68" i="4"/>
  <c r="F42" i="30" s="1"/>
  <c r="H8" i="30"/>
  <c r="F8" i="30"/>
  <c r="E8" i="30"/>
  <c r="D8" i="30"/>
  <c r="D7" i="30"/>
  <c r="H12" i="30"/>
  <c r="D11" i="30"/>
  <c r="F12" i="30"/>
  <c r="E12" i="30"/>
  <c r="D12" i="30"/>
  <c r="C12" i="30"/>
  <c r="B12" i="30"/>
  <c r="F41" i="30"/>
  <c r="E41" i="30"/>
  <c r="D41" i="30"/>
  <c r="D40" i="30"/>
  <c r="M40" i="30"/>
  <c r="K40" i="30"/>
  <c r="H40" i="30"/>
  <c r="I40" i="30" s="1"/>
  <c r="E58" i="4"/>
  <c r="E60" i="4" s="1"/>
  <c r="G60" i="4" s="1"/>
  <c r="L60" i="4" s="1"/>
  <c r="E48" i="4"/>
  <c r="L75" i="4"/>
  <c r="G68" i="4"/>
  <c r="F38" i="30"/>
  <c r="F37" i="30"/>
  <c r="F36" i="30"/>
  <c r="P46" i="4"/>
  <c r="F35" i="30"/>
  <c r="H65" i="4"/>
  <c r="H64" i="4"/>
  <c r="H54" i="4"/>
  <c r="H53" i="4"/>
  <c r="H50" i="4"/>
  <c r="H49" i="4"/>
  <c r="H46" i="4"/>
  <c r="H42" i="4"/>
  <c r="H43" i="4"/>
  <c r="E37" i="4"/>
  <c r="K40" i="4"/>
  <c r="E22" i="4"/>
  <c r="E23" i="4" s="1"/>
  <c r="K23" i="4" s="1"/>
  <c r="E34" i="30"/>
  <c r="D34" i="30"/>
  <c r="D33" i="30"/>
  <c r="E28" i="30"/>
  <c r="F28" i="30"/>
  <c r="E29" i="30"/>
  <c r="F29" i="30"/>
  <c r="E30" i="30"/>
  <c r="F30" i="30"/>
  <c r="D29" i="30"/>
  <c r="D30" i="30"/>
  <c r="D28" i="30"/>
  <c r="D27" i="30"/>
  <c r="F20" i="30"/>
  <c r="F21" i="30"/>
  <c r="F22" i="30"/>
  <c r="F23" i="30"/>
  <c r="F24" i="30"/>
  <c r="F19" i="30"/>
  <c r="E20" i="30"/>
  <c r="E21" i="30"/>
  <c r="E22" i="30"/>
  <c r="E23" i="30"/>
  <c r="E24" i="30"/>
  <c r="E19" i="30"/>
  <c r="C20" i="30"/>
  <c r="C21" i="30"/>
  <c r="C22" i="30"/>
  <c r="C23" i="30"/>
  <c r="C24" i="30"/>
  <c r="C19" i="30"/>
  <c r="D20" i="30"/>
  <c r="D21" i="30"/>
  <c r="D22" i="30"/>
  <c r="D23" i="30"/>
  <c r="D24" i="30"/>
  <c r="D19" i="30"/>
  <c r="D18" i="30"/>
  <c r="G20" i="30"/>
  <c r="G30" i="30"/>
  <c r="K30" i="30" s="1"/>
  <c r="G28" i="30"/>
  <c r="K28" i="30" s="1"/>
  <c r="H19" i="30"/>
  <c r="H15" i="30"/>
  <c r="K14" i="30"/>
  <c r="H33" i="30"/>
  <c r="I33" i="30" s="1"/>
  <c r="F14" i="30"/>
  <c r="F15" i="30"/>
  <c r="B8" i="30"/>
  <c r="C8" i="30"/>
  <c r="B9" i="30"/>
  <c r="E9" i="30"/>
  <c r="C14" i="30"/>
  <c r="D14" i="30"/>
  <c r="E14" i="30"/>
  <c r="B15" i="30"/>
  <c r="C15" i="30"/>
  <c r="D15" i="30"/>
  <c r="E15" i="30"/>
  <c r="B34" i="30"/>
  <c r="E7" i="30"/>
  <c r="C7" i="30"/>
  <c r="K33" i="30"/>
  <c r="M33" i="30"/>
  <c r="K25" i="4"/>
  <c r="M14" i="30"/>
  <c r="I14" i="30"/>
  <c r="E24" i="4"/>
  <c r="G24" i="4" s="1"/>
  <c r="E38" i="4"/>
  <c r="G38" i="4"/>
  <c r="H21" i="30"/>
  <c r="H30" i="30"/>
  <c r="H34" i="30"/>
  <c r="G22" i="30"/>
  <c r="K22" i="30" s="1"/>
  <c r="G12" i="30"/>
  <c r="M12" i="30" s="1"/>
  <c r="G8" i="30"/>
  <c r="E33" i="4"/>
  <c r="E34" i="4" s="1"/>
  <c r="G41" i="30"/>
  <c r="E68" i="4"/>
  <c r="G42" i="30" s="1"/>
  <c r="G34" i="30"/>
  <c r="R46" i="4"/>
  <c r="H22" i="30"/>
  <c r="H28" i="30"/>
  <c r="H41" i="30"/>
  <c r="I34" i="30" l="1"/>
  <c r="I8" i="30"/>
  <c r="G38" i="30"/>
  <c r="I23" i="4"/>
  <c r="E62" i="4"/>
  <c r="G62" i="4" s="1"/>
  <c r="L62" i="4" s="1"/>
  <c r="E64" i="4"/>
  <c r="G23" i="4"/>
  <c r="E59" i="4"/>
  <c r="G59" i="4" s="1"/>
  <c r="L59" i="4" s="1"/>
  <c r="G21" i="30"/>
  <c r="I21" i="30" s="1"/>
  <c r="N21" i="30" s="1"/>
  <c r="M34" i="30"/>
  <c r="G29" i="30"/>
  <c r="K29" i="30" s="1"/>
  <c r="G31" i="30"/>
  <c r="M8" i="30"/>
  <c r="E76" i="4"/>
  <c r="E77" i="4" s="1"/>
  <c r="I77" i="4" s="1"/>
  <c r="K8" i="30"/>
  <c r="G23" i="30"/>
  <c r="K23" i="30" s="1"/>
  <c r="O46" i="4"/>
  <c r="E46" i="4" s="1"/>
  <c r="I46" i="4" s="1"/>
  <c r="I45" i="4" s="1"/>
  <c r="K12" i="30"/>
  <c r="F9" i="30"/>
  <c r="I28" i="30"/>
  <c r="N28" i="30" s="1"/>
  <c r="I41" i="30"/>
  <c r="N41" i="30" s="1"/>
  <c r="I64" i="4"/>
  <c r="L64" i="4" s="1"/>
  <c r="I10" i="4"/>
  <c r="L10" i="4" s="1"/>
  <c r="I14" i="4"/>
  <c r="L14" i="4" s="1"/>
  <c r="I34" i="4"/>
  <c r="I33" i="4" s="1"/>
  <c r="H33" i="4" s="1"/>
  <c r="K109" i="36"/>
  <c r="G109" i="36"/>
  <c r="G36" i="30"/>
  <c r="E49" i="4"/>
  <c r="I49" i="4" s="1"/>
  <c r="L49" i="4" s="1"/>
  <c r="E50" i="4"/>
  <c r="I50" i="4" s="1"/>
  <c r="L50" i="4" s="1"/>
  <c r="E52" i="4"/>
  <c r="E54" i="4" s="1"/>
  <c r="I54" i="4" s="1"/>
  <c r="L54" i="4" s="1"/>
  <c r="I9" i="4"/>
  <c r="L9" i="4" s="1"/>
  <c r="E108" i="36"/>
  <c r="E16" i="4"/>
  <c r="I16" i="4" s="1"/>
  <c r="L16" i="4" s="1"/>
  <c r="E18" i="4"/>
  <c r="I18" i="4" s="1"/>
  <c r="L18" i="4" s="1"/>
  <c r="G16" i="30"/>
  <c r="I22" i="30"/>
  <c r="N22" i="30" s="1"/>
  <c r="I30" i="30"/>
  <c r="N30" i="30" s="1"/>
  <c r="H20" i="30"/>
  <c r="I20" i="30" s="1"/>
  <c r="N20" i="30" s="1"/>
  <c r="I12" i="30"/>
  <c r="I109" i="36"/>
  <c r="K38" i="4"/>
  <c r="I38" i="4"/>
  <c r="G15" i="30"/>
  <c r="G24" i="30"/>
  <c r="E69" i="4"/>
  <c r="E72" i="4"/>
  <c r="I72" i="4" s="1"/>
  <c r="E74" i="4"/>
  <c r="E73" i="4"/>
  <c r="I17" i="4"/>
  <c r="L17" i="4" s="1"/>
  <c r="E71" i="4"/>
  <c r="G43" i="30" s="1"/>
  <c r="I24" i="4"/>
  <c r="E113" i="36"/>
  <c r="I113" i="36" s="1"/>
  <c r="F68" i="4"/>
  <c r="E39" i="4"/>
  <c r="G35" i="30"/>
  <c r="E43" i="4"/>
  <c r="I43" i="4" s="1"/>
  <c r="L43" i="4" s="1"/>
  <c r="E42" i="4"/>
  <c r="I42" i="4" s="1"/>
  <c r="G19" i="30"/>
  <c r="I19" i="30" s="1"/>
  <c r="N19" i="30" s="1"/>
  <c r="K24" i="4"/>
  <c r="E15" i="4"/>
  <c r="I15" i="4" s="1"/>
  <c r="E28" i="4"/>
  <c r="E65" i="4"/>
  <c r="I65" i="4" s="1"/>
  <c r="L65" i="4" s="1"/>
  <c r="E61" i="4"/>
  <c r="G61" i="4" s="1"/>
  <c r="L61" i="4" s="1"/>
  <c r="L23" i="4" l="1"/>
  <c r="I29" i="30"/>
  <c r="N29" i="30" s="1"/>
  <c r="I23" i="30"/>
  <c r="N23" i="30" s="1"/>
  <c r="L77" i="4"/>
  <c r="I76" i="4"/>
  <c r="H76" i="4" s="1"/>
  <c r="G44" i="30"/>
  <c r="N8" i="30"/>
  <c r="E55" i="4"/>
  <c r="K55" i="4" s="1"/>
  <c r="L34" i="4"/>
  <c r="L33" i="4" s="1"/>
  <c r="L32" i="4" s="1"/>
  <c r="G37" i="30"/>
  <c r="N12" i="30"/>
  <c r="N11" i="30" s="1"/>
  <c r="L46" i="4"/>
  <c r="L45" i="4" s="1"/>
  <c r="E45" i="4"/>
  <c r="H45" i="4" s="1"/>
  <c r="I8" i="4"/>
  <c r="H8" i="4" s="1"/>
  <c r="I48" i="4"/>
  <c r="H48" i="4" s="1"/>
  <c r="J36" i="30" s="1"/>
  <c r="K36" i="30" s="1"/>
  <c r="N36" i="30" s="1"/>
  <c r="G108" i="36"/>
  <c r="K108" i="36"/>
  <c r="I108" i="36"/>
  <c r="I107" i="36" s="1"/>
  <c r="H107" i="36" s="1"/>
  <c r="L48" i="4"/>
  <c r="I58" i="4"/>
  <c r="H58" i="4" s="1"/>
  <c r="J38" i="30" s="1"/>
  <c r="K38" i="30" s="1"/>
  <c r="E53" i="4"/>
  <c r="I53" i="4" s="1"/>
  <c r="L53" i="4" s="1"/>
  <c r="L109" i="36"/>
  <c r="L24" i="4"/>
  <c r="E56" i="4"/>
  <c r="K56" i="4" s="1"/>
  <c r="L56" i="4" s="1"/>
  <c r="L72" i="4"/>
  <c r="G63" i="4"/>
  <c r="F41" i="4"/>
  <c r="G41" i="4" s="1"/>
  <c r="L41" i="4" s="1"/>
  <c r="L42" i="4"/>
  <c r="I69" i="4"/>
  <c r="K69" i="4"/>
  <c r="J31" i="30"/>
  <c r="K31" i="30" s="1"/>
  <c r="N31" i="30" s="1"/>
  <c r="N27" i="30" s="1"/>
  <c r="E30" i="4"/>
  <c r="I30" i="4" s="1"/>
  <c r="L30" i="4" s="1"/>
  <c r="E29" i="4"/>
  <c r="I29" i="4" s="1"/>
  <c r="G25" i="30"/>
  <c r="I24" i="30"/>
  <c r="K24" i="30"/>
  <c r="K73" i="4"/>
  <c r="I73" i="4"/>
  <c r="L15" i="4"/>
  <c r="H19" i="4"/>
  <c r="I19" i="4" s="1"/>
  <c r="L19" i="4" s="1"/>
  <c r="I22" i="4"/>
  <c r="H22" i="4" s="1"/>
  <c r="I74" i="4"/>
  <c r="K74" i="4"/>
  <c r="I39" i="4"/>
  <c r="I37" i="4" s="1"/>
  <c r="H37" i="4" s="1"/>
  <c r="G39" i="4"/>
  <c r="K39" i="4"/>
  <c r="I112" i="36"/>
  <c r="L113" i="36"/>
  <c r="L112" i="36" s="1"/>
  <c r="L38" i="4"/>
  <c r="M15" i="30"/>
  <c r="K15" i="30"/>
  <c r="I15" i="30"/>
  <c r="L73" i="4" l="1"/>
  <c r="G55" i="4"/>
  <c r="G52" i="4" s="1"/>
  <c r="F52" i="4" s="1"/>
  <c r="L13" i="4"/>
  <c r="I13" i="4"/>
  <c r="H13" i="4" s="1"/>
  <c r="J16" i="30" s="1"/>
  <c r="K16" i="30" s="1"/>
  <c r="N16" i="30" s="1"/>
  <c r="F11" i="4"/>
  <c r="G11" i="4" s="1"/>
  <c r="L11" i="4" s="1"/>
  <c r="L8" i="4" s="1"/>
  <c r="I55" i="4"/>
  <c r="I52" i="4" s="1"/>
  <c r="H52" i="4" s="1"/>
  <c r="J37" i="30" s="1"/>
  <c r="K37" i="30" s="1"/>
  <c r="L76" i="4"/>
  <c r="H112" i="36"/>
  <c r="J34" i="30"/>
  <c r="K34" i="30" s="1"/>
  <c r="N34" i="30" s="1"/>
  <c r="K52" i="4"/>
  <c r="J52" i="4" s="1"/>
  <c r="L37" i="30" s="1"/>
  <c r="M37" i="30" s="1"/>
  <c r="L74" i="4"/>
  <c r="N24" i="30"/>
  <c r="L108" i="36"/>
  <c r="L107" i="36" s="1"/>
  <c r="F25" i="4"/>
  <c r="G25" i="4" s="1"/>
  <c r="N15" i="30"/>
  <c r="J35" i="30"/>
  <c r="K35" i="30" s="1"/>
  <c r="I28" i="4"/>
  <c r="H28" i="4" s="1"/>
  <c r="L29" i="4"/>
  <c r="L28" i="4" s="1"/>
  <c r="L27" i="4" s="1"/>
  <c r="J44" i="30"/>
  <c r="K44" i="30" s="1"/>
  <c r="N44" i="30" s="1"/>
  <c r="J9" i="30"/>
  <c r="K9" i="30" s="1"/>
  <c r="L39" i="4"/>
  <c r="F40" i="4" s="1"/>
  <c r="G40" i="4" s="1"/>
  <c r="L63" i="4"/>
  <c r="L58" i="4" s="1"/>
  <c r="G58" i="4"/>
  <c r="F58" i="4" s="1"/>
  <c r="I68" i="4"/>
  <c r="H68" i="4" s="1"/>
  <c r="L69" i="4"/>
  <c r="L68" i="4" s="1"/>
  <c r="I71" i="4"/>
  <c r="H71" i="4" s="1"/>
  <c r="G8" i="4" l="1"/>
  <c r="F8" i="4" s="1"/>
  <c r="H9" i="30" s="1"/>
  <c r="I9" i="30" s="1"/>
  <c r="N9" i="30" s="1"/>
  <c r="N7" i="30" s="1"/>
  <c r="L7" i="4"/>
  <c r="L71" i="4"/>
  <c r="L67" i="4" s="1"/>
  <c r="L55" i="4"/>
  <c r="L52" i="4" s="1"/>
  <c r="F110" i="36"/>
  <c r="G110" i="36" s="1"/>
  <c r="G107" i="36" s="1"/>
  <c r="F107" i="36" s="1"/>
  <c r="L25" i="4"/>
  <c r="L22" i="4" s="1"/>
  <c r="L21" i="4" s="1"/>
  <c r="G22" i="4"/>
  <c r="F22" i="4" s="1"/>
  <c r="L40" i="4"/>
  <c r="L37" i="4" s="1"/>
  <c r="G37" i="4"/>
  <c r="F37" i="4" s="1"/>
  <c r="M46" i="30"/>
  <c r="H38" i="30"/>
  <c r="I38" i="30" s="1"/>
  <c r="N38" i="30" s="1"/>
  <c r="N14" i="30"/>
  <c r="J43" i="30"/>
  <c r="K43" i="30" s="1"/>
  <c r="N43" i="30" s="1"/>
  <c r="J42" i="30"/>
  <c r="K42" i="30" s="1"/>
  <c r="N42" i="30" s="1"/>
  <c r="N40" i="30" s="1"/>
  <c r="H37" i="30"/>
  <c r="I37" i="30" s="1"/>
  <c r="N37" i="30" s="1"/>
  <c r="J25" i="30"/>
  <c r="K25" i="30" s="1"/>
  <c r="N25" i="30" s="1"/>
  <c r="N18" i="30" s="1"/>
  <c r="L36" i="4" l="1"/>
  <c r="L110" i="36"/>
  <c r="K46" i="30"/>
  <c r="H35" i="30"/>
  <c r="I35" i="30" s="1"/>
  <c r="N35" i="30" s="1"/>
  <c r="N33" i="30" s="1"/>
  <c r="N46" i="30" s="1"/>
  <c r="I46" i="30" l="1"/>
  <c r="F21" i="34" l="1"/>
  <c r="G25" i="34" l="1"/>
  <c r="G9" i="34"/>
  <c r="G23" i="34"/>
  <c r="G22" i="34"/>
  <c r="G12" i="34"/>
  <c r="G26" i="34"/>
  <c r="G24" i="34"/>
</calcChain>
</file>

<file path=xl/sharedStrings.xml><?xml version="1.0" encoding="utf-8"?>
<sst xmlns="http://schemas.openxmlformats.org/spreadsheetml/2006/main" count="431" uniqueCount="262">
  <si>
    <t>규  격</t>
  </si>
  <si>
    <t>수량</t>
  </si>
  <si>
    <t>단위</t>
  </si>
  <si>
    <t>재   료   비</t>
  </si>
  <si>
    <t>노   무   비</t>
  </si>
  <si>
    <t>경          비</t>
  </si>
  <si>
    <t>비  고</t>
  </si>
  <si>
    <t>단  가</t>
  </si>
  <si>
    <t>금   액</t>
  </si>
  <si>
    <t>인</t>
  </si>
  <si>
    <t>품       명</t>
    <phoneticPr fontId="17" type="noConversion"/>
  </si>
  <si>
    <t>합      계</t>
    <phoneticPr fontId="5" type="noConversion"/>
  </si>
  <si>
    <t>공사원가계산서</t>
    <phoneticPr fontId="18" type="noConversion"/>
  </si>
  <si>
    <t>구분</t>
  </si>
  <si>
    <t>금액</t>
  </si>
  <si>
    <t>구성비(%)</t>
    <phoneticPr fontId="36" type="noConversion"/>
  </si>
  <si>
    <t>비고</t>
  </si>
  <si>
    <t>①재료비</t>
    <phoneticPr fontId="18" type="noConversion"/>
  </si>
  <si>
    <t>직접재료비</t>
    <phoneticPr fontId="18" type="noConversion"/>
  </si>
  <si>
    <t>직접재료비 계산표 참조</t>
  </si>
  <si>
    <t>간접재료비</t>
    <phoneticPr fontId="18" type="noConversion"/>
  </si>
  <si>
    <t>(△)작업설ㆍ부산물</t>
    <phoneticPr fontId="18" type="noConversion"/>
  </si>
  <si>
    <t>소계</t>
    <phoneticPr fontId="18" type="noConversion"/>
  </si>
  <si>
    <t>②노무비</t>
    <phoneticPr fontId="18" type="noConversion"/>
  </si>
  <si>
    <t>직접노무비</t>
    <phoneticPr fontId="18" type="noConversion"/>
  </si>
  <si>
    <t>직접노무비 계산표 참조</t>
  </si>
  <si>
    <t>간접노무비</t>
    <phoneticPr fontId="18" type="noConversion"/>
  </si>
  <si>
    <t>직접노무비 의</t>
    <phoneticPr fontId="18" type="noConversion"/>
  </si>
  <si>
    <t>산재보험료</t>
  </si>
  <si>
    <t>노무비 의</t>
    <phoneticPr fontId="18" type="noConversion"/>
  </si>
  <si>
    <t>고용보험료</t>
  </si>
  <si>
    <t>연금보험료</t>
  </si>
  <si>
    <t>직접노무비 의</t>
  </si>
  <si>
    <t>건강보험료</t>
  </si>
  <si>
    <t>노인장기요양보험료</t>
  </si>
  <si>
    <t>건강보험료 의</t>
  </si>
  <si>
    <t>산업안전보건관리비</t>
    <phoneticPr fontId="36" type="noConversion"/>
  </si>
  <si>
    <t>(재료비+직접노무비) 의</t>
    <phoneticPr fontId="36" type="noConversion"/>
  </si>
  <si>
    <t>퇴직공제부금비</t>
    <phoneticPr fontId="36" type="noConversion"/>
  </si>
  <si>
    <t>기타경비</t>
  </si>
  <si>
    <t>(재료비+노무비) 의</t>
    <phoneticPr fontId="18" type="noConversion"/>
  </si>
  <si>
    <t>소계</t>
  </si>
  <si>
    <t>④</t>
    <phoneticPr fontId="18" type="noConversion"/>
  </si>
  <si>
    <t>계</t>
    <phoneticPr fontId="18" type="noConversion"/>
  </si>
  <si>
    <t>①+②+③</t>
  </si>
  <si>
    <t>⑤</t>
    <phoneticPr fontId="18" type="noConversion"/>
  </si>
  <si>
    <t>일반관리비</t>
    <phoneticPr fontId="18" type="noConversion"/>
  </si>
  <si>
    <t>④×</t>
  </si>
  <si>
    <t>⑥</t>
    <phoneticPr fontId="18" type="noConversion"/>
  </si>
  <si>
    <t>이윤</t>
    <phoneticPr fontId="18" type="noConversion"/>
  </si>
  <si>
    <t>⑦</t>
  </si>
  <si>
    <t>총원가</t>
    <phoneticPr fontId="18" type="noConversion"/>
  </si>
  <si>
    <t>④+⑤+⑥</t>
  </si>
  <si>
    <t>⑧</t>
  </si>
  <si>
    <t>부가가치세</t>
    <phoneticPr fontId="18" type="noConversion"/>
  </si>
  <si>
    <t>⑦×</t>
    <phoneticPr fontId="18" type="noConversion"/>
  </si>
  <si>
    <t>⑨</t>
  </si>
  <si>
    <t>합계</t>
    <phoneticPr fontId="18" type="noConversion"/>
  </si>
  <si>
    <t>(단위 : 원)</t>
    <phoneticPr fontId="17" type="noConversion"/>
  </si>
  <si>
    <t>수  량</t>
    <phoneticPr fontId="18" type="noConversion"/>
  </si>
  <si>
    <t>비  고</t>
    <phoneticPr fontId="18" type="noConversion"/>
  </si>
  <si>
    <t>No.</t>
    <phoneticPr fontId="18" type="noConversion"/>
  </si>
  <si>
    <t>공종</t>
    <phoneticPr fontId="18" type="noConversion"/>
  </si>
  <si>
    <t>규격</t>
    <phoneticPr fontId="18" type="noConversion"/>
  </si>
  <si>
    <t>단위</t>
    <phoneticPr fontId="18" type="noConversion"/>
  </si>
  <si>
    <t>산출근거</t>
    <phoneticPr fontId="18" type="noConversion"/>
  </si>
  <si>
    <t>물 량 산 출 표</t>
    <phoneticPr fontId="18" type="noConversion"/>
  </si>
  <si>
    <t>비고</t>
    <phoneticPr fontId="18" type="noConversion"/>
  </si>
  <si>
    <t>No.</t>
    <phoneticPr fontId="17" type="noConversion"/>
  </si>
  <si>
    <t>계</t>
    <phoneticPr fontId="17" type="noConversion"/>
  </si>
  <si>
    <t>비고</t>
    <phoneticPr fontId="17" type="noConversion"/>
  </si>
  <si>
    <t>공 종 별 내 역 서</t>
    <phoneticPr fontId="17" type="noConversion"/>
  </si>
  <si>
    <t>(단위 : 원)</t>
    <phoneticPr fontId="5" type="noConversion"/>
  </si>
  <si>
    <t xml:space="preserve">일 위 대 가 </t>
    <phoneticPr fontId="5" type="noConversion"/>
  </si>
  <si>
    <t>&lt; 표 Ⅳ-1 &gt;</t>
    <phoneticPr fontId="36" type="noConversion"/>
  </si>
  <si>
    <t>&lt; 표 Ⅳ-2 &gt;</t>
    <phoneticPr fontId="36" type="noConversion"/>
  </si>
  <si>
    <t>(단위 : 원)</t>
    <phoneticPr fontId="18" type="noConversion"/>
  </si>
  <si>
    <t xml:space="preserve"> </t>
    <phoneticPr fontId="18" type="noConversion"/>
  </si>
  <si>
    <t>⑦+⑧</t>
    <phoneticPr fontId="18" type="noConversion"/>
  </si>
  <si>
    <t>m</t>
    <phoneticPr fontId="17" type="noConversion"/>
  </si>
  <si>
    <t>보통인부</t>
    <phoneticPr fontId="5" type="noConversion"/>
  </si>
  <si>
    <t>인</t>
    <phoneticPr fontId="5" type="noConversion"/>
  </si>
  <si>
    <t>계</t>
    <phoneticPr fontId="17" type="noConversion"/>
  </si>
  <si>
    <t>EA</t>
    <phoneticPr fontId="18" type="noConversion"/>
  </si>
  <si>
    <t>kg</t>
    <phoneticPr fontId="35" type="noConversion"/>
  </si>
  <si>
    <t>배관공</t>
    <phoneticPr fontId="5" type="noConversion"/>
  </si>
  <si>
    <t>m</t>
    <phoneticPr fontId="18" type="noConversion"/>
  </si>
  <si>
    <t>*철거는 장소협소 및 고소작업으로 설치의 50%로 계상</t>
    <phoneticPr fontId="5" type="noConversion"/>
  </si>
  <si>
    <t>비계공</t>
    <phoneticPr fontId="5" type="noConversion"/>
  </si>
  <si>
    <t>공구손료</t>
    <phoneticPr fontId="5" type="noConversion"/>
  </si>
  <si>
    <t>㎡</t>
    <phoneticPr fontId="5" type="noConversion"/>
  </si>
  <si>
    <t>식</t>
    <phoneticPr fontId="5" type="noConversion"/>
  </si>
  <si>
    <t>합판</t>
    <phoneticPr fontId="5" type="noConversion"/>
  </si>
  <si>
    <t>각재</t>
    <phoneticPr fontId="5" type="noConversion"/>
  </si>
  <si>
    <t>소모자재</t>
    <phoneticPr fontId="5" type="noConversion"/>
  </si>
  <si>
    <t>형틀목공</t>
    <phoneticPr fontId="5" type="noConversion"/>
  </si>
  <si>
    <t>재료비의 4%</t>
    <phoneticPr fontId="5" type="noConversion"/>
  </si>
  <si>
    <t>인건비의 1%</t>
    <phoneticPr fontId="5" type="noConversion"/>
  </si>
  <si>
    <t>가. 합판거푸집 설치 및 제거</t>
    <phoneticPr fontId="5" type="noConversion"/>
  </si>
  <si>
    <t>콘크리트공</t>
    <phoneticPr fontId="5" type="noConversion"/>
  </si>
  <si>
    <t>=A/T*M*((60*2*L/V)+2)</t>
    <phoneticPr fontId="5" type="noConversion"/>
  </si>
  <si>
    <t>page.39
강관비계 설치 및 해체</t>
    <phoneticPr fontId="5" type="noConversion"/>
  </si>
  <si>
    <t>page.738
폴리부틸렌 일반접합 및 배관</t>
    <phoneticPr fontId="5" type="noConversion"/>
  </si>
  <si>
    <t>page.756
일반밸브 설치</t>
    <phoneticPr fontId="5" type="noConversion"/>
  </si>
  <si>
    <t>page.171
합판거푸집 설치 및 해체</t>
    <phoneticPr fontId="5" type="noConversion"/>
  </si>
  <si>
    <t>page.22
인력운반</t>
    <phoneticPr fontId="5" type="noConversion"/>
  </si>
  <si>
    <t>㎥</t>
    <phoneticPr fontId="5" type="noConversion"/>
  </si>
  <si>
    <t>다. 콘크리트 현장비빔 타설</t>
    <phoneticPr fontId="5" type="noConversion"/>
  </si>
  <si>
    <t>라. 콘크리트 철거</t>
    <phoneticPr fontId="5" type="noConversion"/>
  </si>
  <si>
    <t>착암공</t>
    <phoneticPr fontId="5" type="noConversion"/>
  </si>
  <si>
    <t>공기압축기</t>
    <phoneticPr fontId="5" type="noConversion"/>
  </si>
  <si>
    <t>hr</t>
    <phoneticPr fontId="5" type="noConversion"/>
  </si>
  <si>
    <t>소형브레이커</t>
    <phoneticPr fontId="5" type="noConversion"/>
  </si>
  <si>
    <t>7.1㎥/min</t>
    <phoneticPr fontId="5" type="noConversion"/>
  </si>
  <si>
    <t>1.3㎥/min</t>
    <phoneticPr fontId="5" type="noConversion"/>
  </si>
  <si>
    <t>에폭시프라이머</t>
    <phoneticPr fontId="5" type="noConversion"/>
  </si>
  <si>
    <t>에폭시라이닝</t>
    <phoneticPr fontId="5" type="noConversion"/>
  </si>
  <si>
    <t>에폭시희석제</t>
    <phoneticPr fontId="5" type="noConversion"/>
  </si>
  <si>
    <t>에폭시SEALING</t>
    <phoneticPr fontId="5" type="noConversion"/>
  </si>
  <si>
    <t>잡재료비</t>
    <phoneticPr fontId="5" type="noConversion"/>
  </si>
  <si>
    <t>방수공</t>
    <phoneticPr fontId="5" type="noConversion"/>
  </si>
  <si>
    <t>인건비의 2%</t>
    <phoneticPr fontId="5" type="noConversion"/>
  </si>
  <si>
    <t>마. 에폭시 라이닝(3mm)</t>
    <phoneticPr fontId="5" type="noConversion"/>
  </si>
  <si>
    <t>kg</t>
    <phoneticPr fontId="5" type="noConversion"/>
  </si>
  <si>
    <t>재료비의 3%</t>
    <phoneticPr fontId="5" type="noConversion"/>
  </si>
  <si>
    <t>EA</t>
    <phoneticPr fontId="17" type="noConversion"/>
  </si>
  <si>
    <t>형틀제작 및 철거</t>
    <phoneticPr fontId="17" type="noConversion"/>
  </si>
  <si>
    <t>page.137
콘크리트 현장비빔타설</t>
    <phoneticPr fontId="5" type="noConversion"/>
  </si>
  <si>
    <t>page.62
인력굴착(암반)</t>
    <phoneticPr fontId="5" type="noConversion"/>
  </si>
  <si>
    <t>page.400
에폭시바닥공사</t>
    <phoneticPr fontId="5" type="noConversion"/>
  </si>
  <si>
    <t>kg</t>
    <phoneticPr fontId="17" type="noConversion"/>
  </si>
  <si>
    <t>L(운반거리km)</t>
    <phoneticPr fontId="5" type="noConversion"/>
  </si>
  <si>
    <t>V(왕복평균속도km/hr)</t>
    <phoneticPr fontId="5" type="noConversion"/>
  </si>
  <si>
    <t>A(보통인부 단가)</t>
    <phoneticPr fontId="5" type="noConversion"/>
  </si>
  <si>
    <t>T(1일 작업시간 분)</t>
    <phoneticPr fontId="5" type="noConversion"/>
  </si>
  <si>
    <t>M(운반량/1인당 1회 운반량)</t>
    <phoneticPr fontId="5" type="noConversion"/>
  </si>
  <si>
    <t>나. 드라이 모르터 자재운반</t>
    <phoneticPr fontId="5" type="noConversion"/>
  </si>
  <si>
    <t>콘크리트 현장비빔 타설</t>
    <phoneticPr fontId="17" type="noConversion"/>
  </si>
  <si>
    <t>콘크리트 철거</t>
    <phoneticPr fontId="17" type="noConversion"/>
  </si>
  <si>
    <t>에폭시라이닝</t>
    <phoneticPr fontId="17" type="noConversion"/>
  </si>
  <si>
    <t>3㎜</t>
    <phoneticPr fontId="17" type="noConversion"/>
  </si>
  <si>
    <t>1개월 이상</t>
    <phoneticPr fontId="18" type="noConversion"/>
  </si>
  <si>
    <t>1억원 이상</t>
    <phoneticPr fontId="18" type="noConversion"/>
  </si>
  <si>
    <t>철골공</t>
    <phoneticPr fontId="5" type="noConversion"/>
  </si>
  <si>
    <t>특별인부</t>
    <phoneticPr fontId="5" type="noConversion"/>
  </si>
  <si>
    <t>page.358
철골가공조립</t>
    <phoneticPr fontId="5" type="noConversion"/>
  </si>
  <si>
    <t>가. 철골가공</t>
    <phoneticPr fontId="5" type="noConversion"/>
  </si>
  <si>
    <t>page.360
현장세우기</t>
    <phoneticPr fontId="5" type="noConversion"/>
  </si>
  <si>
    <t>기계설비공</t>
    <phoneticPr fontId="5" type="noConversion"/>
  </si>
  <si>
    <t>인건비의 3%</t>
    <phoneticPr fontId="5" type="noConversion"/>
  </si>
  <si>
    <t>가. 비계 설치 및 해체</t>
    <phoneticPr fontId="5" type="noConversion"/>
  </si>
  <si>
    <t>가. 펌프해체 및 설치</t>
    <phoneticPr fontId="5" type="noConversion"/>
  </si>
  <si>
    <t xml:space="preserve">1. 설비 해체 및 설치 </t>
    <phoneticPr fontId="17" type="noConversion"/>
  </si>
  <si>
    <t>가. 배관 철거 및 설치</t>
    <phoneticPr fontId="5" type="noConversion"/>
  </si>
  <si>
    <t>가. 밸브 철거 및 설치</t>
    <phoneticPr fontId="5" type="noConversion"/>
  </si>
  <si>
    <t>나. 철골 철거 및 세우기</t>
    <phoneticPr fontId="5" type="noConversion"/>
  </si>
  <si>
    <t>page.753
일반펌프 설치</t>
    <phoneticPr fontId="5" type="noConversion"/>
  </si>
  <si>
    <t>밸브 철거 및 설치</t>
    <phoneticPr fontId="17" type="noConversion"/>
  </si>
  <si>
    <t>배관 철거 및 설치</t>
    <phoneticPr fontId="17" type="noConversion"/>
  </si>
  <si>
    <t>펌프 철거 및 설치</t>
    <phoneticPr fontId="17" type="noConversion"/>
  </si>
  <si>
    <t>2. 비계설치 및 해체</t>
    <phoneticPr fontId="17" type="noConversion"/>
  </si>
  <si>
    <t>page.914
일반기기 설치</t>
    <phoneticPr fontId="5" type="noConversion"/>
  </si>
  <si>
    <t>기계산업기사</t>
    <phoneticPr fontId="5" type="noConversion"/>
  </si>
  <si>
    <t>용접공</t>
    <phoneticPr fontId="5" type="noConversion"/>
  </si>
  <si>
    <t>나. 교반기 철거 및 설치</t>
    <phoneticPr fontId="5" type="noConversion"/>
  </si>
  <si>
    <t>ton</t>
    <phoneticPr fontId="5" type="noConversion"/>
  </si>
  <si>
    <t>*철거는 장소협소 및 고소작업으로 설치의 50%로 계상. 부분 조립작업 할증 50%, 설치중량 0.5톤 미만 20% 가산</t>
    <phoneticPr fontId="5" type="noConversion"/>
  </si>
  <si>
    <t>검사 및 교정</t>
    <phoneticPr fontId="5" type="noConversion"/>
  </si>
  <si>
    <t>기술관리를 제외한 본품의 10%</t>
    <phoneticPr fontId="5" type="noConversion"/>
  </si>
  <si>
    <t>초급기술자</t>
    <phoneticPr fontId="5" type="noConversion"/>
  </si>
  <si>
    <t>교반기 철거 및 설치</t>
    <phoneticPr fontId="17" type="noConversion"/>
  </si>
  <si>
    <t>철골가공</t>
    <phoneticPr fontId="17" type="noConversion"/>
  </si>
  <si>
    <t>철골 철거 및 세우기</t>
    <phoneticPr fontId="17" type="noConversion"/>
  </si>
  <si>
    <t>다. 용접접합</t>
    <phoneticPr fontId="5" type="noConversion"/>
  </si>
  <si>
    <t>개소</t>
    <phoneticPr fontId="5" type="noConversion"/>
  </si>
  <si>
    <t>page.732
용접접합</t>
    <phoneticPr fontId="5" type="noConversion"/>
  </si>
  <si>
    <t>용접접합</t>
    <phoneticPr fontId="17" type="noConversion"/>
  </si>
  <si>
    <t>*장소협소 및 고소작업으로 20%할증</t>
    <phoneticPr fontId="5" type="noConversion"/>
  </si>
  <si>
    <t>3. 배관공사</t>
    <phoneticPr fontId="5" type="noConversion"/>
  </si>
  <si>
    <t>4. 밸브설비공사</t>
    <phoneticPr fontId="5" type="noConversion"/>
  </si>
  <si>
    <t>5. 기초공사</t>
    <phoneticPr fontId="17" type="noConversion"/>
  </si>
  <si>
    <t>6. 지지대공사</t>
    <phoneticPr fontId="17" type="noConversion"/>
  </si>
  <si>
    <t>제3호표. 강관비계 설치 및 해체</t>
    <phoneticPr fontId="5" type="noConversion"/>
  </si>
  <si>
    <t>단위 : 원</t>
    <phoneticPr fontId="17" type="noConversion"/>
  </si>
  <si>
    <t>&lt; 표 1 &gt;</t>
    <phoneticPr fontId="36" type="noConversion"/>
  </si>
  <si>
    <t>&lt; 표 2 &gt;</t>
    <phoneticPr fontId="36" type="noConversion"/>
  </si>
  <si>
    <t>&lt; 표 3 &gt;</t>
    <phoneticPr fontId="36" type="noConversion"/>
  </si>
  <si>
    <t>&lt; 표 4 &gt;</t>
    <phoneticPr fontId="36" type="noConversion"/>
  </si>
  <si>
    <t>보온재 철거</t>
    <phoneticPr fontId="18" type="noConversion"/>
  </si>
  <si>
    <t>보온재 설치</t>
    <phoneticPr fontId="18" type="noConversion"/>
  </si>
  <si>
    <r>
      <rPr>
        <sz val="11"/>
        <color rgb="FF000000"/>
        <rFont val="맑은 고딕"/>
        <family val="3"/>
        <charset val="129"/>
      </rPr>
      <t>증발기</t>
    </r>
    <r>
      <rPr>
        <sz val="11"/>
        <color rgb="FF000000"/>
        <rFont val="Calibri"/>
        <family val="3"/>
      </rPr>
      <t xml:space="preserve"> </t>
    </r>
    <r>
      <rPr>
        <sz val="11"/>
        <color rgb="FF000000"/>
        <rFont val="맑은 고딕"/>
        <family val="3"/>
        <charset val="129"/>
      </rPr>
      <t>철거</t>
    </r>
    <phoneticPr fontId="18" type="noConversion"/>
  </si>
  <si>
    <t>1일</t>
    <phoneticPr fontId="18" type="noConversion"/>
  </si>
  <si>
    <t>15일</t>
    <phoneticPr fontId="18" type="noConversion"/>
  </si>
  <si>
    <t>증발기 설치</t>
    <phoneticPr fontId="18" type="noConversion"/>
  </si>
  <si>
    <t>인</t>
    <phoneticPr fontId="18" type="noConversion"/>
  </si>
  <si>
    <t>중급기술자</t>
    <phoneticPr fontId="18" type="noConversion"/>
  </si>
  <si>
    <t>공사 일정표</t>
    <phoneticPr fontId="18" type="noConversion"/>
  </si>
  <si>
    <t>㎡</t>
    <phoneticPr fontId="18" type="noConversion"/>
  </si>
  <si>
    <t>인</t>
    <phoneticPr fontId="18" type="noConversion"/>
  </si>
  <si>
    <r>
      <t>(</t>
    </r>
    <r>
      <rPr>
        <sz val="11"/>
        <rFont val="Segoe UI Symbol"/>
        <family val="3"/>
      </rPr>
      <t>②</t>
    </r>
    <r>
      <rPr>
        <sz val="11"/>
        <rFont val="휴먼고딕"/>
        <family val="3"/>
        <charset val="129"/>
      </rPr>
      <t>＋</t>
    </r>
    <r>
      <rPr>
        <sz val="11"/>
        <rFont val="Segoe UI Symbol"/>
        <family val="3"/>
      </rPr>
      <t>③</t>
    </r>
    <r>
      <rPr>
        <sz val="11"/>
        <rFont val="휴먼고딕"/>
        <family val="3"/>
        <charset val="129"/>
      </rPr>
      <t>＋</t>
    </r>
    <r>
      <rPr>
        <sz val="11"/>
        <rFont val="Segoe UI Symbol"/>
        <family val="3"/>
      </rPr>
      <t>⑤</t>
    </r>
    <r>
      <rPr>
        <sz val="11"/>
        <rFont val="휴먼고딕"/>
        <family val="3"/>
        <charset val="129"/>
      </rPr>
      <t>)의</t>
    </r>
    <phoneticPr fontId="36" type="noConversion"/>
  </si>
  <si>
    <t>개</t>
    <phoneticPr fontId="18" type="noConversion"/>
  </si>
  <si>
    <t>가. 기술관리</t>
    <phoneticPr fontId="5" type="noConversion"/>
  </si>
  <si>
    <t>4일</t>
    <phoneticPr fontId="18" type="noConversion"/>
  </si>
  <si>
    <t>2~5일</t>
    <phoneticPr fontId="18" type="noConversion"/>
  </si>
  <si>
    <t>6~14일</t>
    <phoneticPr fontId="18" type="noConversion"/>
  </si>
  <si>
    <t>9일</t>
    <phoneticPr fontId="18" type="noConversion"/>
  </si>
  <si>
    <t>1일</t>
    <phoneticPr fontId="18" type="noConversion"/>
  </si>
  <si>
    <t>직접재료비의</t>
    <phoneticPr fontId="18" type="noConversion"/>
  </si>
  <si>
    <t>SCR 촉매</t>
    <phoneticPr fontId="18" type="noConversion"/>
  </si>
  <si>
    <t>압출성형, Honeycomb타입
촉매조성: TiO2/WO3/V2O5</t>
    <phoneticPr fontId="18" type="noConversion"/>
  </si>
  <si>
    <t>1. 촉매 교체작업</t>
    <phoneticPr fontId="17" type="noConversion"/>
  </si>
  <si>
    <t>6-8 쓰레기소각 기계설비
-(5)탈질설비 설치
-1)공정별설치-기술관리</t>
    <phoneticPr fontId="5" type="noConversion"/>
  </si>
  <si>
    <t>SCR 촉매 중량</t>
    <phoneticPr fontId="18" type="noConversion"/>
  </si>
  <si>
    <t>SCR 촉매 표면</t>
    <phoneticPr fontId="18" type="noConversion"/>
  </si>
  <si>
    <t>9개/1단×1단</t>
    <phoneticPr fontId="18" type="noConversion"/>
  </si>
  <si>
    <t>320kg/개×9</t>
    <phoneticPr fontId="28" type="noConversion"/>
  </si>
  <si>
    <t>{(0.95m×0.95m)+(0.95m×0.845m)×4}×9</t>
    <phoneticPr fontId="18" type="noConversion"/>
  </si>
  <si>
    <t>SCR 촉매(신규)</t>
    <phoneticPr fontId="18" type="noConversion"/>
  </si>
  <si>
    <t>SCR 촉매(기존)</t>
    <phoneticPr fontId="18" type="noConversion"/>
  </si>
  <si>
    <t>9개/1단×3단</t>
    <phoneticPr fontId="18" type="noConversion"/>
  </si>
  <si>
    <t>kg</t>
    <phoneticPr fontId="18" type="noConversion"/>
  </si>
  <si>
    <t>320kg/개×27</t>
    <phoneticPr fontId="28" type="noConversion"/>
  </si>
  <si>
    <t>나. 포장해체</t>
    <phoneticPr fontId="5" type="noConversion"/>
  </si>
  <si>
    <t>특별인부</t>
    <phoneticPr fontId="18" type="noConversion"/>
  </si>
  <si>
    <t>인</t>
    <phoneticPr fontId="18" type="noConversion"/>
  </si>
  <si>
    <t>SCR 촉매 부피</t>
    <phoneticPr fontId="18" type="noConversion"/>
  </si>
  <si>
    <t>㎥</t>
    <phoneticPr fontId="18" type="noConversion"/>
  </si>
  <si>
    <t>(0.95m×0.95m×0.845m)/개×9개</t>
    <phoneticPr fontId="18" type="noConversion"/>
  </si>
  <si>
    <t>6-8 쓰레기소각 기계설비
-(5)탈질설비 설치
-1)공정별설치-포장해체</t>
    <phoneticPr fontId="18" type="noConversion"/>
  </si>
  <si>
    <t>6-8 쓰레기소각 기계설비
-(5)탈질설비 설치
-1)공정별설치-표면손질</t>
    <phoneticPr fontId="18" type="noConversion"/>
  </si>
  <si>
    <t>6-8 쓰레기소각 기계설비
-(5)탈질설비 설치
-1)공정별설치-소운반</t>
    <phoneticPr fontId="18" type="noConversion"/>
  </si>
  <si>
    <t>6-8 쓰레기소각 기계설비
-(5)탈질설비 설치
-1)공정별설치-현장교정</t>
    <phoneticPr fontId="18" type="noConversion"/>
  </si>
  <si>
    <t>6-8 쓰레기소각 기계설비
-(5)탈질설비 설치
-1)공정별설치-기초작업</t>
    <phoneticPr fontId="18" type="noConversion"/>
  </si>
  <si>
    <t>6-8 쓰레기소각 기계설비
-(5)탈질설비 설치
-1)공정별설치-본체설치</t>
    <phoneticPr fontId="18" type="noConversion"/>
  </si>
  <si>
    <t>건축목공</t>
    <phoneticPr fontId="18" type="noConversion"/>
  </si>
  <si>
    <t>다. 표면손질</t>
    <phoneticPr fontId="5" type="noConversion"/>
  </si>
  <si>
    <t>라. 소운반</t>
    <phoneticPr fontId="18" type="noConversion"/>
  </si>
  <si>
    <t>신규촉매 부피</t>
    <phoneticPr fontId="18" type="noConversion"/>
  </si>
  <si>
    <t>촉매(신규+기존) 표면적</t>
    <phoneticPr fontId="18" type="noConversion"/>
  </si>
  <si>
    <t>{(0.95m×0.95m)+(0.95m×0.845m)×4}×27</t>
    <phoneticPr fontId="18" type="noConversion"/>
  </si>
  <si>
    <t>Ton</t>
    <phoneticPr fontId="5" type="noConversion"/>
  </si>
  <si>
    <t>건설기계운전사</t>
    <phoneticPr fontId="18" type="noConversion"/>
  </si>
  <si>
    <t>조</t>
    <phoneticPr fontId="18" type="noConversion"/>
  </si>
  <si>
    <t>플랜트기계설치공</t>
    <phoneticPr fontId="18" type="noConversion"/>
  </si>
  <si>
    <t>신규촉매 운반무게</t>
    <phoneticPr fontId="18" type="noConversion"/>
  </si>
  <si>
    <t>촉매(신규+기존) 무게</t>
    <phoneticPr fontId="18" type="noConversion"/>
  </si>
  <si>
    <t>마. 기초작업</t>
    <phoneticPr fontId="18" type="noConversion"/>
  </si>
  <si>
    <t>바. 현장교정</t>
    <phoneticPr fontId="5" type="noConversion"/>
  </si>
  <si>
    <t>촉매(신규+기존) 운반무게</t>
    <phoneticPr fontId="18" type="noConversion"/>
  </si>
  <si>
    <t>사. 검사 및 교정</t>
    <phoneticPr fontId="18" type="noConversion"/>
  </si>
  <si>
    <t>%</t>
    <phoneticPr fontId="5" type="noConversion"/>
  </si>
  <si>
    <t>기술관리, 포장해체를 제외한 전공량의 10%</t>
    <phoneticPr fontId="18" type="noConversion"/>
  </si>
  <si>
    <t>SCR 촉매 설치(신규+기존)</t>
    <phoneticPr fontId="18" type="noConversion"/>
  </si>
  <si>
    <t>ton</t>
    <phoneticPr fontId="18" type="noConversion"/>
  </si>
  <si>
    <t>폐기물처리비</t>
    <phoneticPr fontId="18" type="noConversion"/>
  </si>
  <si>
    <r>
      <rPr>
        <sz val="11"/>
        <rFont val="맑은 고딕"/>
        <family val="3"/>
        <charset val="129"/>
      </rPr>
      <t xml:space="preserve">폐촉매처리비 </t>
    </r>
    <r>
      <rPr>
        <sz val="11"/>
        <rFont val="Calibri"/>
        <family val="3"/>
      </rPr>
      <t>Ton</t>
    </r>
    <r>
      <rPr>
        <sz val="11"/>
        <rFont val="맑은 고딕"/>
        <family val="3"/>
        <charset val="129"/>
      </rPr>
      <t>당</t>
    </r>
    <phoneticPr fontId="18" type="noConversion"/>
  </si>
  <si>
    <t>원</t>
    <phoneticPr fontId="18" type="noConversion"/>
  </si>
  <si>
    <r>
      <t xml:space="preserve">건명 : 군포환경관리소 </t>
    </r>
    <r>
      <rPr>
        <sz val="11"/>
        <rFont val="맑은 고딕"/>
        <family val="3"/>
        <charset val="129"/>
      </rPr>
      <t>SCR 촉매</t>
    </r>
    <r>
      <rPr>
        <sz val="11"/>
        <rFont val="휴먼고딕"/>
        <family val="3"/>
        <charset val="129"/>
      </rPr>
      <t xml:space="preserve"> </t>
    </r>
    <r>
      <rPr>
        <sz val="11"/>
        <rFont val="맑은 고딕"/>
        <family val="3"/>
        <charset val="129"/>
      </rPr>
      <t xml:space="preserve">제작구매 및 </t>
    </r>
    <r>
      <rPr>
        <sz val="11"/>
        <rFont val="휴먼고딕"/>
        <family val="3"/>
        <charset val="129"/>
      </rPr>
      <t>교체공사</t>
    </r>
    <phoneticPr fontId="36" type="noConversion"/>
  </si>
  <si>
    <r>
      <rPr>
        <sz val="11"/>
        <rFont val="Segoe UI Symbol"/>
        <family val="3"/>
      </rPr>
      <t>③</t>
    </r>
    <r>
      <rPr>
        <sz val="11"/>
        <rFont val="맑은 고딕"/>
        <family val="3"/>
        <charset val="129"/>
      </rPr>
      <t>경비</t>
    </r>
    <phoneticPr fontId="18" type="noConversion"/>
  </si>
  <si>
    <t>압출성형, Honeycomb타입
촉매조성: TiO2/WO3/V2O5</t>
  </si>
  <si>
    <t>개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</si>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</sst>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(* #,##0_);_(* \(#,##0\);_(* &quot;-&quot;_);_(@_)"/>
    <numFmt numFmtId="179" formatCode="#,##0_);[Red]\(#,##0\)"/>
    <numFmt numFmtId="18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\-#,##0"/>
    <numFmt numFmtId="181" formatCode="&quot;₩&quot;#,##0.00;&quot;₩&quot;&quot;₩&quot;&quot;₩&quot;&quot;₩&quot;&quot;₩&quot;&quot;₩&quot;&quot;₩&quot;&quot;₩&quot;\-#,##0.00"/>
    <numFmt numFmtId="182" formatCode="0.00_)"/>
    <numFmt numFmtId="183" formatCode="#,##0;\(#,##0\)"/>
    <numFmt numFmtId="184" formatCode="#,##0.00000;[Red]\-#,##0.00000"/>
    <numFmt numFmtId="185" formatCode="#,##0.0000000;[Red]\-#,##0.0000000"/>
    <numFmt numFmtId="186" formatCode="#,##0;[Red]&quot;-&quot;#,##0"/>
    <numFmt numFmtId="187" formatCode="_-&quot;₩&quot;* #,##0.00_-;&quot;₩&quot;&quot;₩&quot;&quot;₩&quot;\!\-&quot;₩&quot;* #,##0.00_-;_-&quot;₩&quot;* &quot;-&quot;??_-;_-@_-"/>
    <numFmt numFmtId="188" formatCode="_-* #,##0.00_-;&quot;₩&quot;&quot;₩&quot;&quot;₩&quot;\!\-* #,##0.00_-;_-* &quot;-&quot;??_-;_-@_-"/>
    <numFmt numFmtId="189" formatCode="&quot;₩&quot;#,##0;&quot;₩&quot;&quot;₩&quot;&quot;₩&quot;&quot;₩&quot;&quot;₩&quot;\!\-#,##0"/>
    <numFmt numFmtId="190" formatCode="&quot;₩&quot;#,##0;[Red]&quot;₩&quot;&quot;₩&quot;&quot;₩&quot;&quot;₩&quot;&quot;₩&quot;\!\-#,##0"/>
    <numFmt numFmtId="191" formatCode="&quot;₩&quot;#,##0.00;&quot;₩&quot;&quot;₩&quot;&quot;₩&quot;&quot;₩&quot;&quot;₩&quot;\!\-#,##0.00"/>
    <numFmt numFmtId="192" formatCode="#,##0.00&quot;₩&quot;\!\ &quot;Pts&quot;;&quot;₩&quot;\!\-#,##0.00&quot;₩&quot;\!\ &quot;Pts&quot;"/>
    <numFmt numFmtId="193" formatCode="_-* #,##0_-;&quot;₩&quot;\!\-* #,##0_-;_-* &quot;-&quot;_-;_-@_-"/>
    <numFmt numFmtId="194" formatCode="_(* #,##0_);_(* &quot;₩&quot;\!\(#,##0&quot;₩&quot;\!\);_(* &quot;-&quot;??_);_(@_)"/>
    <numFmt numFmtId="196" formatCode="0.000"/>
    <numFmt numFmtId="197" formatCode="_-* #,##0.00_-;&quot;₩&quot;\!\-* #,##0.00_-;_-* &quot;-&quot;??_-;_-@_-"/>
    <numFmt numFmtId="198" formatCode="_ &quot;₩&quot;* #,##0_ ;_ &quot;₩&quot;* \-#,##0_ ;_ &quot;₩&quot;* &quot;-&quot;_ ;_ @_ "/>
    <numFmt numFmtId="199" formatCode="_ &quot;₩&quot;* #,##0.00_ ;_ &quot;₩&quot;* \-#,##0.00_ ;_ &quot;₩&quot;* &quot;-&quot;??_ ;_ @_ "/>
    <numFmt numFmtId="200" formatCode="_ * #,##0.0_ ;_ * \-#,##0.0_ ;_ * &quot;-&quot;_ ;_ @_ "/>
    <numFmt numFmtId="201" formatCode="yy&quot;년&quot;&quot;₩&quot;&quot;₩&quot;\ mm&quot;월&quot;&quot;₩&quot;&quot;₩&quot;\ dd&quot;일&quot;"/>
    <numFmt numFmtId="202" formatCode="yyyy&quot;年&quot;&quot;₩&quot;&quot;₩&quot;\ mm&quot;月&quot;&quot;₩&quot;&quot;₩&quot;\ dd&quot;日&quot;"/>
    <numFmt numFmtId="203" formatCode="#,##0,"/>
    <numFmt numFmtId="204" formatCode="0.000%"/>
    <numFmt numFmtId="205" formatCode="0,###,000"/>
    <numFmt numFmtId="206" formatCode="#,##0.0"/>
    <numFmt numFmtId="207" formatCode="_(* #,##0_);_(* \(#,##0\);_(* &quot;-&quot;??_);_(@_)"/>
    <numFmt numFmtId="208" formatCode="#."/>
    <numFmt numFmtId="209" formatCode="_ * #\!\,##0_ ;_ * &quot;₩&quot;\!\-#\!\,##0_ ;_ * &quot;-&quot;_ ;_ @_ "/>
    <numFmt numFmtId="210" formatCode="_-* #,##0.0_-;\-* #,##0.0_-;_-* &quot;-&quot;_-;_-@_-"/>
    <numFmt numFmtId="211" formatCode="#,##0_ "/>
    <numFmt numFmtId="212" formatCode="0.0%"/>
    <numFmt numFmtId="213" formatCode="0_ "/>
    <numFmt numFmtId="214" formatCode="#,##0.00_ "/>
    <numFmt numFmtId="215" formatCode="0_);[Red]\(0\)"/>
    <numFmt numFmtId="216" formatCode="#,##0.0_);[Red]\(#,##0.0\)"/>
    <numFmt numFmtId="217" formatCode="#,##0.00_);[Red]\(#,##0.00\)"/>
  </numFmts>
  <fonts count="75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1"/>
      <name val="굴림체"/>
      <family val="3"/>
      <charset val="129"/>
    </font>
    <font>
      <sz val="12"/>
      <name val="¹UAAA¼"/>
      <family val="1"/>
      <charset val="129"/>
    </font>
    <font>
      <b/>
      <sz val="10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"/>
      <family val="1"/>
      <charset val="129"/>
    </font>
    <font>
      <sz val="8"/>
      <name val="돋움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1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2"/>
      <name val="견고딕"/>
      <family val="1"/>
      <charset val="129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name val="바탕체"/>
      <family val="1"/>
      <charset val="129"/>
    </font>
    <font>
      <sz val="12"/>
      <name val="견명조"/>
      <family val="1"/>
      <charset val="129"/>
    </font>
    <font>
      <sz val="11"/>
      <name val="돋움체"/>
      <family val="3"/>
      <charset val="129"/>
    </font>
    <font>
      <sz val="12"/>
      <name val="¹ÙÅÁÃ¼"/>
      <family val="1"/>
    </font>
    <font>
      <sz val="10"/>
      <name val="MS Sans Serif"/>
      <family val="2"/>
    </font>
    <font>
      <sz val="12"/>
      <name val="¹ÙÅÁÃ¼"/>
      <family val="1"/>
      <charset val="129"/>
    </font>
    <font>
      <sz val="7"/>
      <name val="Small Fonts"/>
      <family val="2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Times New Roman"/>
      <family val="1"/>
    </font>
    <font>
      <sz val="12"/>
      <name val="¨IoUAAA¡§u"/>
      <family val="3"/>
      <charset val="129"/>
    </font>
    <font>
      <sz val="12"/>
      <name val="ⓒoUAAA¨u"/>
      <family val="1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1"/>
      <color theme="1"/>
      <name val="맑은 고딕"/>
      <family val="3"/>
      <charset val="129"/>
      <scheme val="minor"/>
    </font>
    <font>
      <b/>
      <sz val="11"/>
      <name val="휴먼고딕"/>
      <family val="3"/>
      <charset val="129"/>
    </font>
    <font>
      <sz val="11"/>
      <name val="휴먼고딕"/>
      <family val="3"/>
      <charset val="129"/>
    </font>
    <font>
      <sz val="10"/>
      <name val="휴먼고딕"/>
      <family val="3"/>
      <charset val="129"/>
    </font>
    <font>
      <sz val="10"/>
      <color rgb="FFFF0000"/>
      <name val="휴먼고딕"/>
      <family val="3"/>
      <charset val="129"/>
    </font>
    <font>
      <sz val="11"/>
      <color indexed="8"/>
      <name val="휴먼고딕"/>
      <family val="3"/>
      <charset val="129"/>
    </font>
    <font>
      <b/>
      <u/>
      <sz val="20"/>
      <color indexed="8"/>
      <name val="휴먼고딕"/>
      <family val="3"/>
      <charset val="129"/>
    </font>
    <font>
      <b/>
      <sz val="11"/>
      <color indexed="8"/>
      <name val="휴먼고딕"/>
      <family val="3"/>
      <charset val="129"/>
    </font>
    <font>
      <b/>
      <sz val="12"/>
      <name val="휴먼고딕"/>
      <family val="3"/>
      <charset val="129"/>
    </font>
    <font>
      <b/>
      <sz val="12"/>
      <color indexed="8"/>
      <name val="휴먼고딕"/>
      <family val="3"/>
      <charset val="129"/>
    </font>
    <font>
      <sz val="11"/>
      <color indexed="9"/>
      <name val="휴먼고딕"/>
      <family val="3"/>
      <charset val="129"/>
    </font>
    <font>
      <sz val="12"/>
      <name val="휴먼고딕"/>
      <family val="3"/>
      <charset val="129"/>
    </font>
    <font>
      <b/>
      <sz val="20"/>
      <name val="휴먼고딕"/>
      <family val="3"/>
      <charset val="129"/>
    </font>
    <font>
      <b/>
      <sz val="20"/>
      <color indexed="8"/>
      <name val="휴먼고딕"/>
      <family val="3"/>
      <charset val="129"/>
    </font>
    <font>
      <b/>
      <sz val="11"/>
      <name val="굴림체"/>
      <family val="3"/>
      <charset val="129"/>
    </font>
    <font>
      <sz val="1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Calibri"/>
      <family val="3"/>
    </font>
    <font>
      <sz val="11"/>
      <color rgb="FF000000"/>
      <name val="휴먼고딕"/>
      <family val="3"/>
      <charset val="129"/>
    </font>
    <font>
      <sz val="11"/>
      <name val="Calibri"/>
      <family val="3"/>
    </font>
    <font>
      <sz val="11"/>
      <color rgb="FF000000"/>
      <name val="Segoe UI Symbol"/>
      <family val="3"/>
    </font>
    <font>
      <b/>
      <sz val="11"/>
      <name val="맑은 고딕"/>
      <family val="3"/>
      <charset val="129"/>
    </font>
    <font>
      <sz val="11"/>
      <name val="Segoe UI Symbol"/>
      <family val="3"/>
    </font>
    <font>
      <sz val="11"/>
      <name val="휴먼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9">
    <xf numFmtId="0" fontId="0" fillId="0" borderId="0"/>
    <xf numFmtId="0" fontId="37" fillId="0" borderId="0"/>
    <xf numFmtId="0" fontId="8" fillId="0" borderId="0"/>
    <xf numFmtId="0" fontId="8" fillId="0" borderId="0"/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9" fillId="0" borderId="1">
      <alignment horizontal="centerContinuous" vertical="center"/>
    </xf>
    <xf numFmtId="0" fontId="38" fillId="0" borderId="1">
      <alignment horizontal="centerContinuous" vertical="center"/>
    </xf>
    <xf numFmtId="0" fontId="37" fillId="0" borderId="1">
      <alignment horizontal="centerContinuous" vertical="center"/>
    </xf>
    <xf numFmtId="0" fontId="38" fillId="0" borderId="1">
      <alignment horizontal="centerContinuous" vertical="center"/>
    </xf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0" fillId="0" borderId="0"/>
    <xf numFmtId="0" fontId="5" fillId="0" borderId="0">
      <alignment horizontal="center" vertical="center"/>
    </xf>
    <xf numFmtId="178" fontId="3" fillId="0" borderId="0">
      <alignment horizontal="center" vertical="center"/>
    </xf>
    <xf numFmtId="203" fontId="1" fillId="0" borderId="0">
      <alignment horizontal="center" vertical="center"/>
    </xf>
    <xf numFmtId="203" fontId="2" fillId="0" borderId="0">
      <alignment horizontal="center" vertical="center"/>
    </xf>
    <xf numFmtId="203" fontId="2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96" fontId="29" fillId="0" borderId="0">
      <alignment horizontal="center" vertical="center"/>
    </xf>
    <xf numFmtId="0" fontId="3" fillId="0" borderId="2">
      <alignment horizontal="center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0" fillId="0" borderId="0">
      <protection locked="0"/>
    </xf>
    <xf numFmtId="0" fontId="6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9" fontId="3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20" fillId="0" borderId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2" fillId="0" borderId="0"/>
    <xf numFmtId="0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31" fillId="0" borderId="0"/>
    <xf numFmtId="0" fontId="6" fillId="0" borderId="0"/>
    <xf numFmtId="0" fontId="44" fillId="0" borderId="0"/>
    <xf numFmtId="0" fontId="44" fillId="0" borderId="0"/>
    <xf numFmtId="0" fontId="31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44" fillId="0" borderId="0" applyNumberFormat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8" fillId="0" borderId="0"/>
    <xf numFmtId="0" fontId="7" fillId="0" borderId="0"/>
    <xf numFmtId="4" fontId="20" fillId="0" borderId="0">
      <protection locked="0"/>
    </xf>
    <xf numFmtId="38" fontId="8" fillId="0" borderId="0" applyFont="0" applyFill="0" applyBorder="0" applyAlignment="0" applyProtection="0"/>
    <xf numFmtId="183" fontId="9" fillId="0" borderId="0"/>
    <xf numFmtId="177" fontId="8" fillId="0" borderId="0" applyFont="0" applyFill="0" applyBorder="0" applyAlignment="0" applyProtection="0"/>
    <xf numFmtId="3" fontId="25" fillId="0" borderId="0" applyFont="0" applyFill="0" applyBorder="0" applyAlignment="0" applyProtection="0"/>
    <xf numFmtId="204" fontId="3" fillId="0" borderId="0">
      <protection locked="0"/>
    </xf>
    <xf numFmtId="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92" fontId="2" fillId="0" borderId="0" applyFont="0" applyFill="0" applyBorder="0" applyAlignment="0" applyProtection="0"/>
    <xf numFmtId="184" fontId="8" fillId="0" borderId="0"/>
    <xf numFmtId="0" fontId="25" fillId="0" borderId="0" applyFont="0" applyFill="0" applyBorder="0" applyAlignment="0" applyProtection="0"/>
    <xf numFmtId="0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185" fontId="8" fillId="0" borderId="0"/>
    <xf numFmtId="2" fontId="2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38" fontId="10" fillId="2" borderId="0" applyNumberFormat="0" applyBorder="0" applyAlignment="0" applyProtection="0"/>
    <xf numFmtId="0" fontId="11" fillId="0" borderId="0">
      <alignment horizontal="left"/>
    </xf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0" fontId="10" fillId="2" borderId="5" applyNumberFormat="0" applyBorder="0" applyAlignment="0" applyProtection="0"/>
    <xf numFmtId="193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13" fillId="0" borderId="6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7" fontId="34" fillId="0" borderId="0"/>
    <xf numFmtId="182" fontId="14" fillId="0" borderId="0"/>
    <xf numFmtId="0" fontId="8" fillId="0" borderId="0"/>
    <xf numFmtId="205" fontId="3" fillId="0" borderId="0">
      <protection locked="0"/>
    </xf>
    <xf numFmtId="10" fontId="8" fillId="0" borderId="0" applyFont="0" applyFill="0" applyBorder="0" applyAlignment="0" applyProtection="0"/>
    <xf numFmtId="0" fontId="8" fillId="0" borderId="0"/>
    <xf numFmtId="0" fontId="13" fillId="0" borderId="0"/>
    <xf numFmtId="0" fontId="15" fillId="0" borderId="0" applyFill="0" applyBorder="0" applyProtection="0">
      <alignment horizontal="centerContinuous" vertical="center"/>
    </xf>
    <xf numFmtId="0" fontId="16" fillId="2" borderId="0" applyFill="0" applyBorder="0" applyProtection="0">
      <alignment horizontal="center" vertical="center"/>
    </xf>
    <xf numFmtId="0" fontId="25" fillId="0" borderId="7" applyNumberFormat="0" applyFont="0" applyFill="0" applyAlignment="0" applyProtection="0"/>
    <xf numFmtId="201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89" fontId="3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3" borderId="8" applyNumberFormat="0" applyFont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5" fillId="2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Font="0" applyFill="0" applyBorder="0" applyProtection="0">
      <alignment horizontal="center" vertical="center"/>
    </xf>
    <xf numFmtId="0" fontId="30" fillId="0" borderId="0" applyFont="0" applyFill="0" applyBorder="0" applyProtection="0">
      <alignment horizontal="center" vertical="center"/>
    </xf>
    <xf numFmtId="0" fontId="22" fillId="0" borderId="0"/>
    <xf numFmtId="186" fontId="23" fillId="0" borderId="0">
      <alignment vertical="center"/>
    </xf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4" fillId="0" borderId="0">
      <alignment horizontal="center" vertical="center"/>
    </xf>
    <xf numFmtId="4" fontId="20" fillId="0" borderId="0">
      <protection locked="0"/>
    </xf>
    <xf numFmtId="190" fontId="3" fillId="0" borderId="0">
      <protection locked="0"/>
    </xf>
    <xf numFmtId="0" fontId="3" fillId="0" borderId="0"/>
    <xf numFmtId="0" fontId="3" fillId="0" borderId="0" applyFont="0" applyFill="0" applyBorder="0" applyAlignment="0" applyProtection="0"/>
    <xf numFmtId="19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80" fontId="2" fillId="2" borderId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188" fontId="3" fillId="0" borderId="0">
      <protection locked="0"/>
    </xf>
    <xf numFmtId="0" fontId="2" fillId="0" borderId="0"/>
    <xf numFmtId="0" fontId="2" fillId="0" borderId="0"/>
    <xf numFmtId="0" fontId="8" fillId="0" borderId="0"/>
    <xf numFmtId="0" fontId="51" fillId="0" borderId="0">
      <alignment vertical="center"/>
    </xf>
    <xf numFmtId="0" fontId="5" fillId="0" borderId="0"/>
    <xf numFmtId="0" fontId="3" fillId="0" borderId="0"/>
    <xf numFmtId="0" fontId="3" fillId="0" borderId="0"/>
    <xf numFmtId="0" fontId="30" fillId="0" borderId="0"/>
    <xf numFmtId="0" fontId="5" fillId="0" borderId="0"/>
    <xf numFmtId="0" fontId="3" fillId="0" borderId="0"/>
    <xf numFmtId="0" fontId="1" fillId="0" borderId="5" applyNumberFormat="0" applyFill="0" applyProtection="0">
      <alignment vertical="center"/>
    </xf>
    <xf numFmtId="0" fontId="20" fillId="0" borderId="7">
      <protection locked="0"/>
    </xf>
    <xf numFmtId="187" fontId="3" fillId="0" borderId="0">
      <protection locked="0"/>
    </xf>
    <xf numFmtId="191" fontId="3" fillId="0" borderId="0">
      <protection locked="0"/>
    </xf>
  </cellStyleXfs>
  <cellXfs count="298">
    <xf numFmtId="0" fontId="0" fillId="0" borderId="0" xfId="0"/>
    <xf numFmtId="0" fontId="52" fillId="0" borderId="0" xfId="193" applyFont="1" applyFill="1" applyAlignment="1">
      <alignment vertical="center"/>
    </xf>
    <xf numFmtId="0" fontId="53" fillId="0" borderId="0" xfId="192" applyFont="1" applyFill="1" applyAlignment="1">
      <alignment vertical="center"/>
    </xf>
    <xf numFmtId="41" fontId="53" fillId="0" borderId="0" xfId="168" applyFont="1" applyFill="1" applyBorder="1" applyAlignment="1">
      <alignment horizontal="left" vertical="center"/>
    </xf>
    <xf numFmtId="10" fontId="53" fillId="0" borderId="0" xfId="158" applyNumberFormat="1" applyFont="1" applyFill="1" applyBorder="1" applyAlignment="1">
      <alignment vertical="center"/>
    </xf>
    <xf numFmtId="0" fontId="53" fillId="0" borderId="0" xfId="192" applyFont="1" applyFill="1" applyBorder="1" applyAlignment="1">
      <alignment vertical="center"/>
    </xf>
    <xf numFmtId="0" fontId="54" fillId="0" borderId="0" xfId="192" applyFont="1" applyFill="1" applyAlignment="1">
      <alignment vertical="center"/>
    </xf>
    <xf numFmtId="41" fontId="54" fillId="0" borderId="0" xfId="168" applyFont="1" applyFill="1" applyBorder="1" applyAlignment="1">
      <alignment horizontal="left" vertical="center"/>
    </xf>
    <xf numFmtId="10" fontId="54" fillId="0" borderId="0" xfId="158" applyNumberFormat="1" applyFont="1" applyFill="1" applyBorder="1" applyAlignment="1">
      <alignment vertical="center"/>
    </xf>
    <xf numFmtId="0" fontId="54" fillId="0" borderId="0" xfId="192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0" fontId="53" fillId="0" borderId="0" xfId="192" applyFont="1" applyFill="1" applyAlignment="1">
      <alignment horizontal="center" vertical="center"/>
    </xf>
    <xf numFmtId="0" fontId="53" fillId="0" borderId="0" xfId="192" applyFont="1" applyFill="1" applyBorder="1" applyAlignment="1">
      <alignment horizontal="right" vertical="center"/>
    </xf>
    <xf numFmtId="0" fontId="52" fillId="0" borderId="9" xfId="192" applyFont="1" applyFill="1" applyBorder="1" applyAlignment="1">
      <alignment horizontal="center" vertical="center"/>
    </xf>
    <xf numFmtId="0" fontId="52" fillId="0" borderId="5" xfId="192" applyFont="1" applyFill="1" applyBorder="1" applyAlignment="1">
      <alignment horizontal="center" vertical="center" shrinkToFit="1"/>
    </xf>
    <xf numFmtId="0" fontId="52" fillId="0" borderId="10" xfId="192" applyFont="1" applyFill="1" applyBorder="1" applyAlignment="1">
      <alignment horizontal="center" vertical="center"/>
    </xf>
    <xf numFmtId="0" fontId="52" fillId="0" borderId="0" xfId="192" applyFont="1" applyFill="1" applyAlignment="1">
      <alignment vertical="center"/>
    </xf>
    <xf numFmtId="0" fontId="53" fillId="0" borderId="11" xfId="192" applyFont="1" applyFill="1" applyBorder="1" applyAlignment="1">
      <alignment vertical="center"/>
    </xf>
    <xf numFmtId="0" fontId="53" fillId="0" borderId="12" xfId="192" applyFont="1" applyFill="1" applyBorder="1" applyAlignment="1">
      <alignment horizontal="distributed" vertical="center"/>
    </xf>
    <xf numFmtId="0" fontId="53" fillId="0" borderId="13" xfId="192" applyFont="1" applyFill="1" applyBorder="1" applyAlignment="1">
      <alignment vertical="center"/>
    </xf>
    <xf numFmtId="41" fontId="53" fillId="0" borderId="5" xfId="192" applyNumberFormat="1" applyFont="1" applyFill="1" applyBorder="1" applyAlignment="1">
      <alignment vertical="center"/>
    </xf>
    <xf numFmtId="10" fontId="53" fillId="0" borderId="5" xfId="158" applyNumberFormat="1" applyFont="1" applyFill="1" applyBorder="1" applyAlignment="1">
      <alignment horizontal="center" vertical="center"/>
    </xf>
    <xf numFmtId="0" fontId="53" fillId="0" borderId="4" xfId="168" applyNumberFormat="1" applyFont="1" applyFill="1" applyBorder="1" applyAlignment="1">
      <alignment horizontal="left" vertical="center"/>
    </xf>
    <xf numFmtId="10" fontId="53" fillId="0" borderId="4" xfId="158" applyNumberFormat="1" applyFont="1" applyFill="1" applyBorder="1" applyAlignment="1">
      <alignment vertical="center"/>
    </xf>
    <xf numFmtId="0" fontId="53" fillId="0" borderId="14" xfId="192" applyFont="1" applyFill="1" applyBorder="1" applyAlignment="1">
      <alignment vertical="center"/>
    </xf>
    <xf numFmtId="0" fontId="53" fillId="0" borderId="1" xfId="192" applyFont="1" applyFill="1" applyBorder="1" applyAlignment="1">
      <alignment vertical="center"/>
    </xf>
    <xf numFmtId="0" fontId="53" fillId="0" borderId="4" xfId="192" applyFont="1" applyFill="1" applyBorder="1" applyAlignment="1">
      <alignment horizontal="distributed" vertical="center"/>
    </xf>
    <xf numFmtId="10" fontId="53" fillId="0" borderId="4" xfId="158" applyNumberFormat="1" applyFont="1" applyFill="1" applyBorder="1" applyAlignment="1">
      <alignment horizontal="right" vertical="center"/>
    </xf>
    <xf numFmtId="10" fontId="53" fillId="0" borderId="4" xfId="158" applyNumberFormat="1" applyFont="1" applyFill="1" applyBorder="1" applyAlignment="1">
      <alignment horizontal="left" vertical="center"/>
    </xf>
    <xf numFmtId="10" fontId="53" fillId="0" borderId="0" xfId="192" applyNumberFormat="1" applyFont="1" applyFill="1" applyAlignment="1">
      <alignment vertical="center"/>
    </xf>
    <xf numFmtId="0" fontId="53" fillId="0" borderId="4" xfId="168" applyNumberFormat="1" applyFont="1" applyFill="1" applyBorder="1" applyAlignment="1">
      <alignment horizontal="left" vertical="center" shrinkToFit="1"/>
    </xf>
    <xf numFmtId="0" fontId="53" fillId="0" borderId="1" xfId="192" applyFont="1" applyFill="1" applyBorder="1" applyAlignment="1">
      <alignment horizontal="right" vertical="center"/>
    </xf>
    <xf numFmtId="0" fontId="53" fillId="0" borderId="4" xfId="192" applyFont="1" applyFill="1" applyBorder="1" applyAlignment="1">
      <alignment vertical="center"/>
    </xf>
    <xf numFmtId="41" fontId="53" fillId="0" borderId="5" xfId="166" applyFont="1" applyFill="1" applyBorder="1" applyAlignment="1">
      <alignment vertical="center"/>
    </xf>
    <xf numFmtId="10" fontId="53" fillId="0" borderId="4" xfId="158" applyNumberFormat="1" applyFont="1" applyFill="1" applyBorder="1" applyAlignment="1">
      <alignment horizontal="right" vertical="center" shrinkToFit="1"/>
    </xf>
    <xf numFmtId="10" fontId="53" fillId="0" borderId="0" xfId="159" applyNumberFormat="1" applyFont="1" applyFill="1" applyAlignment="1">
      <alignment vertical="center"/>
    </xf>
    <xf numFmtId="0" fontId="53" fillId="0" borderId="4" xfId="168" applyNumberFormat="1" applyFont="1" applyFill="1" applyBorder="1" applyAlignment="1">
      <alignment vertical="center"/>
    </xf>
    <xf numFmtId="41" fontId="52" fillId="0" borderId="5" xfId="192" applyNumberFormat="1" applyFont="1" applyFill="1" applyBorder="1" applyAlignment="1">
      <alignment vertical="center"/>
    </xf>
    <xf numFmtId="41" fontId="52" fillId="0" borderId="15" xfId="192" applyNumberFormat="1" applyFont="1" applyFill="1" applyBorder="1" applyAlignment="1">
      <alignment vertical="center"/>
    </xf>
    <xf numFmtId="41" fontId="54" fillId="0" borderId="0" xfId="192" applyNumberFormat="1" applyFont="1" applyFill="1" applyAlignment="1">
      <alignment vertical="center"/>
    </xf>
    <xf numFmtId="0" fontId="55" fillId="0" borderId="0" xfId="192" applyFont="1" applyFill="1" applyAlignment="1">
      <alignment vertical="center"/>
    </xf>
    <xf numFmtId="212" fontId="54" fillId="0" borderId="0" xfId="192" applyNumberFormat="1" applyFont="1" applyFill="1" applyAlignment="1">
      <alignment vertical="center"/>
    </xf>
    <xf numFmtId="1" fontId="53" fillId="0" borderId="5" xfId="194" applyNumberFormat="1" applyFont="1" applyFill="1" applyBorder="1" applyAlignment="1">
      <alignment vertical="center" wrapText="1"/>
    </xf>
    <xf numFmtId="3" fontId="53" fillId="0" borderId="5" xfId="170" applyNumberFormat="1" applyFont="1" applyFill="1" applyBorder="1" applyAlignment="1" applyProtection="1">
      <alignment horizontal="center" vertical="center"/>
    </xf>
    <xf numFmtId="179" fontId="53" fillId="0" borderId="5" xfId="165" applyNumberFormat="1" applyFont="1" applyFill="1" applyBorder="1" applyAlignment="1" applyProtection="1">
      <alignment horizontal="right" vertical="center" shrinkToFit="1"/>
    </xf>
    <xf numFmtId="3" fontId="56" fillId="0" borderId="0" xfId="194" applyNumberFormat="1" applyFont="1" applyFill="1" applyAlignment="1"/>
    <xf numFmtId="3" fontId="56" fillId="0" borderId="0" xfId="194" applyNumberFormat="1" applyFont="1" applyFill="1" applyAlignment="1">
      <alignment shrinkToFit="1"/>
    </xf>
    <xf numFmtId="3" fontId="56" fillId="0" borderId="0" xfId="194" applyNumberFormat="1" applyFont="1" applyFill="1" applyAlignment="1">
      <alignment horizontal="center"/>
    </xf>
    <xf numFmtId="3" fontId="56" fillId="0" borderId="0" xfId="170" applyNumberFormat="1" applyFont="1" applyFill="1" applyAlignment="1">
      <alignment horizontal="center" shrinkToFit="1"/>
    </xf>
    <xf numFmtId="3" fontId="56" fillId="0" borderId="0" xfId="170" applyNumberFormat="1" applyFont="1" applyFill="1" applyAlignment="1"/>
    <xf numFmtId="3" fontId="56" fillId="0" borderId="12" xfId="190" applyNumberFormat="1" applyFont="1" applyFill="1" applyBorder="1" applyAlignment="1"/>
    <xf numFmtId="3" fontId="56" fillId="0" borderId="12" xfId="190" applyNumberFormat="1" applyFont="1" applyFill="1" applyBorder="1" applyAlignment="1">
      <alignment horizontal="right" vertical="center"/>
    </xf>
    <xf numFmtId="3" fontId="58" fillId="0" borderId="0" xfId="194" applyNumberFormat="1" applyFont="1" applyFill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0" fontId="52" fillId="0" borderId="5" xfId="194" applyFont="1" applyFill="1" applyBorder="1" applyAlignment="1">
      <alignment vertical="center" shrinkToFit="1"/>
    </xf>
    <xf numFmtId="1" fontId="52" fillId="0" borderId="5" xfId="194" applyNumberFormat="1" applyFont="1" applyFill="1" applyBorder="1" applyAlignment="1">
      <alignment vertical="center" wrapText="1"/>
    </xf>
    <xf numFmtId="0" fontId="52" fillId="0" borderId="5" xfId="194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right" vertical="center" shrinkToFit="1"/>
    </xf>
    <xf numFmtId="3" fontId="58" fillId="0" borderId="5" xfId="170" applyNumberFormat="1" applyFont="1" applyFill="1" applyBorder="1" applyAlignment="1" applyProtection="1">
      <alignment vertical="center"/>
    </xf>
    <xf numFmtId="3" fontId="58" fillId="0" borderId="5" xfId="194" applyNumberFormat="1" applyFont="1" applyFill="1" applyBorder="1" applyAlignment="1" applyProtection="1">
      <alignment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58" fillId="0" borderId="0" xfId="194" applyNumberFormat="1" applyFont="1" applyFill="1" applyAlignment="1">
      <alignment horizontal="center"/>
    </xf>
    <xf numFmtId="3" fontId="56" fillId="0" borderId="5" xfId="194" applyNumberFormat="1" applyFont="1" applyFill="1" applyBorder="1" applyAlignment="1" applyProtection="1">
      <alignment horizontal="center" vertical="center"/>
    </xf>
    <xf numFmtId="0" fontId="53" fillId="0" borderId="5" xfId="194" applyFont="1" applyFill="1" applyBorder="1" applyAlignment="1">
      <alignment vertical="center" shrinkToFit="1"/>
    </xf>
    <xf numFmtId="0" fontId="53" fillId="0" borderId="5" xfId="194" applyFont="1" applyFill="1" applyBorder="1" applyAlignment="1">
      <alignment horizontal="center" vertical="center"/>
    </xf>
    <xf numFmtId="3" fontId="56" fillId="0" borderId="5" xfId="170" applyNumberFormat="1" applyFont="1" applyFill="1" applyBorder="1" applyAlignment="1" applyProtection="1">
      <alignment vertical="center" shrinkToFit="1"/>
    </xf>
    <xf numFmtId="3" fontId="56" fillId="0" borderId="5" xfId="194" applyNumberFormat="1" applyFont="1" applyFill="1" applyBorder="1" applyAlignment="1" applyProtection="1">
      <alignment vertical="center" shrinkToFit="1"/>
    </xf>
    <xf numFmtId="3" fontId="56" fillId="0" borderId="5" xfId="194" applyNumberFormat="1" applyFont="1" applyFill="1" applyBorder="1" applyAlignment="1" applyProtection="1">
      <alignment horizontal="center" vertical="center" shrinkToFit="1"/>
    </xf>
    <xf numFmtId="3" fontId="56" fillId="0" borderId="5" xfId="170" applyNumberFormat="1" applyFont="1" applyFill="1" applyBorder="1" applyAlignment="1" applyProtection="1">
      <alignment vertical="center"/>
    </xf>
    <xf numFmtId="3" fontId="53" fillId="0" borderId="5" xfId="194" applyNumberFormat="1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vertical="center" shrinkToFit="1"/>
    </xf>
    <xf numFmtId="3" fontId="58" fillId="0" borderId="5" xfId="194" applyNumberFormat="1" applyFont="1" applyFill="1" applyBorder="1" applyAlignment="1" applyProtection="1">
      <alignment vertical="center" shrinkToFit="1"/>
    </xf>
    <xf numFmtId="0" fontId="53" fillId="0" borderId="5" xfId="194" applyFont="1" applyFill="1" applyBorder="1" applyAlignment="1">
      <alignment horizontal="center" vertical="center" shrinkToFit="1"/>
    </xf>
    <xf numFmtId="3" fontId="53" fillId="0" borderId="5" xfId="194" applyNumberFormat="1" applyFont="1" applyFill="1" applyBorder="1" applyAlignment="1">
      <alignment horizontal="center" vertical="center" shrinkToFit="1"/>
    </xf>
    <xf numFmtId="3" fontId="52" fillId="0" borderId="5" xfId="194" applyNumberFormat="1" applyFont="1" applyFill="1" applyBorder="1" applyAlignment="1">
      <alignment vertical="center" shrinkToFit="1"/>
    </xf>
    <xf numFmtId="1" fontId="53" fillId="0" borderId="5" xfId="194" applyNumberFormat="1" applyFont="1" applyFill="1" applyBorder="1" applyAlignment="1">
      <alignment vertical="center" shrinkToFit="1"/>
    </xf>
    <xf numFmtId="3" fontId="56" fillId="0" borderId="5" xfId="170" applyNumberFormat="1" applyFont="1" applyFill="1" applyBorder="1" applyAlignment="1" applyProtection="1">
      <alignment horizontal="right" vertical="center" shrinkToFit="1"/>
    </xf>
    <xf numFmtId="3" fontId="56" fillId="4" borderId="5" xfId="194" applyNumberFormat="1" applyFont="1" applyFill="1" applyBorder="1" applyAlignment="1" applyProtection="1">
      <alignment horizontal="center" vertical="center"/>
    </xf>
    <xf numFmtId="0" fontId="59" fillId="4" borderId="5" xfId="194" applyFont="1" applyFill="1" applyBorder="1" applyAlignment="1">
      <alignment horizontal="center" vertical="center" shrinkToFit="1"/>
    </xf>
    <xf numFmtId="1" fontId="59" fillId="4" borderId="5" xfId="194" applyNumberFormat="1" applyFont="1" applyFill="1" applyBorder="1" applyAlignment="1">
      <alignment vertical="center" wrapText="1"/>
    </xf>
    <xf numFmtId="0" fontId="59" fillId="4" borderId="5" xfId="194" applyFont="1" applyFill="1" applyBorder="1" applyAlignment="1">
      <alignment horizontal="center" vertical="center"/>
    </xf>
    <xf numFmtId="3" fontId="60" fillId="4" borderId="5" xfId="170" applyNumberFormat="1" applyFont="1" applyFill="1" applyBorder="1" applyAlignment="1" applyProtection="1">
      <alignment horizontal="right" vertical="center" shrinkToFit="1"/>
    </xf>
    <xf numFmtId="3" fontId="60" fillId="4" borderId="5" xfId="170" applyNumberFormat="1" applyFont="1" applyFill="1" applyBorder="1" applyAlignment="1" applyProtection="1">
      <alignment vertical="center" shrinkToFit="1"/>
    </xf>
    <xf numFmtId="3" fontId="60" fillId="4" borderId="5" xfId="194" applyNumberFormat="1" applyFont="1" applyFill="1" applyBorder="1" applyAlignment="1" applyProtection="1">
      <alignment vertical="center" shrinkToFit="1"/>
    </xf>
    <xf numFmtId="3" fontId="56" fillId="4" borderId="5" xfId="194" applyNumberFormat="1" applyFont="1" applyFill="1" applyBorder="1" applyAlignment="1" applyProtection="1">
      <alignment horizontal="center" vertical="center" shrinkToFit="1"/>
    </xf>
    <xf numFmtId="3" fontId="53" fillId="0" borderId="0" xfId="194" applyNumberFormat="1" applyFont="1" applyAlignment="1">
      <alignment shrinkToFit="1"/>
    </xf>
    <xf numFmtId="3" fontId="53" fillId="0" borderId="0" xfId="194" applyNumberFormat="1" applyFont="1" applyAlignment="1">
      <alignment horizontal="center"/>
    </xf>
    <xf numFmtId="0" fontId="53" fillId="0" borderId="0" xfId="179" applyNumberFormat="1" applyFont="1" applyAlignment="1">
      <alignment horizontal="center"/>
    </xf>
    <xf numFmtId="3" fontId="53" fillId="0" borderId="0" xfId="179" applyNumberFormat="1" applyFont="1" applyAlignment="1"/>
    <xf numFmtId="3" fontId="53" fillId="0" borderId="0" xfId="194" applyNumberFormat="1" applyFont="1" applyAlignment="1"/>
    <xf numFmtId="0" fontId="61" fillId="0" borderId="0" xfId="194" applyNumberFormat="1" applyFont="1" applyAlignment="1">
      <alignment shrinkToFit="1"/>
    </xf>
    <xf numFmtId="3" fontId="53" fillId="0" borderId="0" xfId="194" applyNumberFormat="1" applyFont="1" applyBorder="1" applyAlignment="1"/>
    <xf numFmtId="3" fontId="56" fillId="0" borderId="0" xfId="190" applyNumberFormat="1" applyFont="1" applyFill="1" applyBorder="1" applyAlignment="1">
      <alignment horizontal="center"/>
    </xf>
    <xf numFmtId="3" fontId="56" fillId="0" borderId="0" xfId="190" applyNumberFormat="1" applyFont="1" applyFill="1" applyBorder="1" applyAlignment="1">
      <alignment horizontal="right" vertical="center"/>
    </xf>
    <xf numFmtId="3" fontId="58" fillId="0" borderId="5" xfId="170" applyNumberFormat="1" applyFont="1" applyFill="1" applyBorder="1" applyAlignment="1" applyProtection="1">
      <alignment horizontal="centerContinuous" vertical="center"/>
    </xf>
    <xf numFmtId="3" fontId="58" fillId="0" borderId="5" xfId="194" applyNumberFormat="1" applyFont="1" applyFill="1" applyBorder="1" applyAlignment="1" applyProtection="1">
      <alignment horizontal="centerContinuous" vertical="center"/>
    </xf>
    <xf numFmtId="3" fontId="58" fillId="0" borderId="0" xfId="194" applyNumberFormat="1" applyFont="1" applyFill="1" applyBorder="1" applyAlignment="1">
      <alignment vertical="center"/>
    </xf>
    <xf numFmtId="3" fontId="52" fillId="0" borderId="5" xfId="194" applyNumberFormat="1" applyFont="1" applyBorder="1" applyAlignment="1" applyProtection="1">
      <alignment horizontal="left" vertical="center"/>
    </xf>
    <xf numFmtId="0" fontId="56" fillId="0" borderId="5" xfId="170" applyNumberFormat="1" applyFont="1" applyFill="1" applyBorder="1" applyAlignment="1" applyProtection="1">
      <alignment horizontal="center" vertical="center"/>
    </xf>
    <xf numFmtId="3" fontId="56" fillId="0" borderId="5" xfId="170" applyNumberFormat="1" applyFont="1" applyFill="1" applyBorder="1" applyAlignment="1" applyProtection="1">
      <alignment horizontal="center" vertical="center"/>
    </xf>
    <xf numFmtId="0" fontId="53" fillId="0" borderId="5" xfId="194" applyNumberFormat="1" applyFont="1" applyFill="1" applyBorder="1" applyAlignment="1" applyProtection="1">
      <alignment horizontal="center" vertical="center" shrinkToFit="1"/>
    </xf>
    <xf numFmtId="3" fontId="53" fillId="0" borderId="5" xfId="194" applyNumberFormat="1" applyFont="1" applyBorder="1" applyAlignment="1" applyProtection="1">
      <alignment horizontal="left" vertical="center"/>
    </xf>
    <xf numFmtId="3" fontId="56" fillId="0" borderId="5" xfId="194" applyNumberFormat="1" applyFont="1" applyFill="1" applyBorder="1" applyAlignment="1" applyProtection="1">
      <alignment horizontal="center" vertical="center" wrapText="1"/>
    </xf>
    <xf numFmtId="179" fontId="53" fillId="0" borderId="5" xfId="194" applyNumberFormat="1" applyFont="1" applyBorder="1" applyAlignment="1" applyProtection="1">
      <alignment vertical="center"/>
    </xf>
    <xf numFmtId="179" fontId="56" fillId="0" borderId="5" xfId="194" applyNumberFormat="1" applyFont="1" applyFill="1" applyBorder="1" applyAlignment="1" applyProtection="1">
      <alignment horizontal="right" vertical="center"/>
    </xf>
    <xf numFmtId="0" fontId="52" fillId="0" borderId="5" xfId="194" applyNumberFormat="1" applyFont="1" applyBorder="1" applyAlignment="1" applyProtection="1">
      <alignment vertical="center" wrapText="1"/>
    </xf>
    <xf numFmtId="3" fontId="56" fillId="0" borderId="0" xfId="194" applyNumberFormat="1" applyFont="1" applyFill="1" applyBorder="1" applyAlignment="1">
      <alignment vertical="center"/>
    </xf>
    <xf numFmtId="3" fontId="53" fillId="0" borderId="0" xfId="194" applyNumberFormat="1" applyFont="1" applyBorder="1" applyAlignment="1">
      <alignment vertical="center"/>
    </xf>
    <xf numFmtId="3" fontId="53" fillId="0" borderId="5" xfId="194" applyNumberFormat="1" applyFont="1" applyBorder="1" applyAlignment="1" applyProtection="1">
      <alignment vertical="center" shrinkToFit="1"/>
    </xf>
    <xf numFmtId="3" fontId="53" fillId="0" borderId="5" xfId="194" applyNumberFormat="1" applyFont="1" applyBorder="1" applyAlignment="1" applyProtection="1">
      <alignment horizontal="center" vertical="center"/>
    </xf>
    <xf numFmtId="3" fontId="53" fillId="0" borderId="0" xfId="194" applyNumberFormat="1" applyFont="1" applyBorder="1" applyAlignment="1" applyProtection="1">
      <alignment vertical="center" shrinkToFit="1"/>
    </xf>
    <xf numFmtId="3" fontId="53" fillId="0" borderId="5" xfId="194" applyNumberFormat="1" applyFont="1" applyBorder="1" applyAlignment="1">
      <alignment vertical="center"/>
    </xf>
    <xf numFmtId="179" fontId="53" fillId="0" borderId="5" xfId="165" applyNumberFormat="1" applyFont="1" applyBorder="1" applyAlignment="1" applyProtection="1">
      <alignment horizontal="right" vertical="center"/>
    </xf>
    <xf numFmtId="0" fontId="53" fillId="0" borderId="5" xfId="165" applyNumberFormat="1" applyFont="1" applyBorder="1" applyAlignment="1" applyProtection="1">
      <alignment horizontal="right" vertical="center"/>
    </xf>
    <xf numFmtId="179" fontId="53" fillId="0" borderId="5" xfId="179" applyNumberFormat="1" applyFont="1" applyBorder="1" applyAlignment="1" applyProtection="1">
      <alignment vertical="center"/>
    </xf>
    <xf numFmtId="179" fontId="52" fillId="0" borderId="5" xfId="194" applyNumberFormat="1" applyFont="1" applyBorder="1" applyAlignment="1" applyProtection="1">
      <alignment vertical="center"/>
    </xf>
    <xf numFmtId="0" fontId="53" fillId="0" borderId="5" xfId="194" applyNumberFormat="1" applyFont="1" applyBorder="1" applyAlignment="1" applyProtection="1">
      <alignment vertical="center" shrinkToFit="1"/>
    </xf>
    <xf numFmtId="3" fontId="52" fillId="0" borderId="5" xfId="194" applyNumberFormat="1" applyFont="1" applyBorder="1" applyAlignment="1" applyProtection="1">
      <alignment vertical="center" shrinkToFit="1"/>
    </xf>
    <xf numFmtId="0" fontId="59" fillId="0" borderId="5" xfId="191" applyFont="1" applyBorder="1" applyAlignment="1">
      <alignment horizontal="center" vertical="center" wrapText="1"/>
    </xf>
    <xf numFmtId="210" fontId="52" fillId="0" borderId="5" xfId="165" applyNumberFormat="1" applyFont="1" applyBorder="1" applyAlignment="1">
      <alignment horizontal="right" vertical="center"/>
    </xf>
    <xf numFmtId="0" fontId="52" fillId="0" borderId="5" xfId="194" applyNumberFormat="1" applyFont="1" applyBorder="1" applyAlignment="1" applyProtection="1">
      <alignment vertical="center" wrapText="1" shrinkToFit="1"/>
    </xf>
    <xf numFmtId="0" fontId="62" fillId="0" borderId="5" xfId="191" applyFont="1" applyBorder="1" applyAlignment="1">
      <alignment horizontal="center" vertical="center" wrapText="1"/>
    </xf>
    <xf numFmtId="179" fontId="53" fillId="0" borderId="5" xfId="165" applyNumberFormat="1" applyFont="1" applyBorder="1" applyAlignment="1">
      <alignment horizontal="right" vertical="center"/>
    </xf>
    <xf numFmtId="206" fontId="53" fillId="0" borderId="5" xfId="165" applyNumberFormat="1" applyFont="1" applyBorder="1" applyAlignment="1" applyProtection="1">
      <alignment horizontal="right" vertical="center"/>
    </xf>
    <xf numFmtId="213" fontId="53" fillId="0" borderId="5" xfId="165" applyNumberFormat="1" applyFont="1" applyBorder="1" applyAlignment="1" applyProtection="1">
      <alignment horizontal="right" vertical="center"/>
    </xf>
    <xf numFmtId="3" fontId="53" fillId="0" borderId="0" xfId="194" quotePrefix="1" applyNumberFormat="1" applyFont="1" applyBorder="1" applyAlignment="1">
      <alignment vertical="center"/>
    </xf>
    <xf numFmtId="214" fontId="53" fillId="0" borderId="0" xfId="194" applyNumberFormat="1" applyFont="1" applyBorder="1" applyAlignment="1">
      <alignment vertical="center"/>
    </xf>
    <xf numFmtId="211" fontId="53" fillId="0" borderId="5" xfId="165" applyNumberFormat="1" applyFont="1" applyBorder="1" applyAlignment="1" applyProtection="1">
      <alignment horizontal="right" vertical="center"/>
    </xf>
    <xf numFmtId="4" fontId="53" fillId="0" borderId="5" xfId="165" applyNumberFormat="1" applyFont="1" applyBorder="1" applyAlignment="1" applyProtection="1">
      <alignment horizontal="right" vertical="center"/>
    </xf>
    <xf numFmtId="3" fontId="53" fillId="0" borderId="5" xfId="165" applyNumberFormat="1" applyFont="1" applyBorder="1" applyAlignment="1" applyProtection="1">
      <alignment horizontal="right" vertical="center"/>
    </xf>
    <xf numFmtId="216" fontId="53" fillId="0" borderId="5" xfId="165" applyNumberFormat="1" applyFont="1" applyBorder="1" applyAlignment="1" applyProtection="1">
      <alignment horizontal="right" vertical="center"/>
    </xf>
    <xf numFmtId="215" fontId="53" fillId="0" borderId="5" xfId="165" applyNumberFormat="1" applyFont="1" applyBorder="1" applyAlignment="1" applyProtection="1">
      <alignment horizontal="right" vertical="center"/>
    </xf>
    <xf numFmtId="3" fontId="53" fillId="0" borderId="0" xfId="194" applyNumberFormat="1" applyFont="1" applyAlignment="1">
      <alignment horizontal="left"/>
    </xf>
    <xf numFmtId="4" fontId="56" fillId="0" borderId="5" xfId="170" applyNumberFormat="1" applyFont="1" applyFill="1" applyBorder="1" applyAlignment="1" applyProtection="1">
      <alignment horizontal="right" vertical="center" shrinkToFit="1"/>
    </xf>
    <xf numFmtId="206" fontId="56" fillId="0" borderId="5" xfId="170" applyNumberFormat="1" applyFont="1" applyFill="1" applyBorder="1" applyAlignment="1" applyProtection="1">
      <alignment horizontal="right" vertical="center" shrinkToFit="1"/>
    </xf>
    <xf numFmtId="0" fontId="53" fillId="0" borderId="5" xfId="0" applyFont="1" applyFill="1" applyBorder="1" applyAlignment="1">
      <alignment horizontal="center" vertical="center"/>
    </xf>
    <xf numFmtId="3" fontId="53" fillId="0" borderId="5" xfId="165" applyNumberFormat="1" applyFont="1" applyFill="1" applyBorder="1" applyAlignment="1" applyProtection="1">
      <alignment horizontal="right" vertical="center" shrinkToFit="1"/>
    </xf>
    <xf numFmtId="49" fontId="52" fillId="0" borderId="5" xfId="185" applyNumberFormat="1" applyFont="1" applyFill="1" applyBorder="1" applyAlignment="1">
      <alignment horizontal="center" vertical="center"/>
    </xf>
    <xf numFmtId="207" fontId="53" fillId="0" borderId="17" xfId="171" applyNumberFormat="1" applyFont="1" applyFill="1" applyBorder="1" applyAlignment="1">
      <alignment horizontal="center" vertical="center"/>
    </xf>
    <xf numFmtId="0" fontId="53" fillId="0" borderId="5" xfId="185" applyFont="1" applyFill="1" applyBorder="1" applyAlignment="1">
      <alignment horizontal="left" vertical="center" wrapText="1"/>
    </xf>
    <xf numFmtId="207" fontId="52" fillId="0" borderId="5" xfId="171" applyNumberFormat="1" applyFont="1" applyFill="1" applyBorder="1" applyAlignment="1">
      <alignment horizontal="center" vertical="center"/>
    </xf>
    <xf numFmtId="3" fontId="56" fillId="0" borderId="5" xfId="170" applyNumberFormat="1" applyFont="1" applyFill="1" applyBorder="1" applyAlignment="1" applyProtection="1">
      <alignment horizontal="right" vertical="center"/>
    </xf>
    <xf numFmtId="3" fontId="56" fillId="0" borderId="5" xfId="194" applyNumberFormat="1" applyFont="1" applyFill="1" applyBorder="1" applyAlignment="1" applyProtection="1">
      <alignment horizontal="right" vertical="center"/>
    </xf>
    <xf numFmtId="3" fontId="53" fillId="0" borderId="5" xfId="194" applyNumberFormat="1" applyFont="1" applyFill="1" applyBorder="1" applyAlignment="1" applyProtection="1">
      <alignment horizontal="right" vertical="center"/>
    </xf>
    <xf numFmtId="3" fontId="53" fillId="0" borderId="0" xfId="194" applyNumberFormat="1" applyFont="1" applyFill="1" applyBorder="1" applyAlignment="1"/>
    <xf numFmtId="3" fontId="53" fillId="0" borderId="5" xfId="194" applyNumberFormat="1" applyFont="1" applyFill="1" applyBorder="1" applyAlignment="1" applyProtection="1">
      <alignment horizontal="left" vertical="center"/>
    </xf>
    <xf numFmtId="3" fontId="53" fillId="0" borderId="5" xfId="194" applyNumberFormat="1" applyFont="1" applyFill="1" applyBorder="1" applyAlignment="1" applyProtection="1">
      <alignment vertical="center" shrinkToFit="1"/>
    </xf>
    <xf numFmtId="3" fontId="53" fillId="0" borderId="5" xfId="194" applyNumberFormat="1" applyFont="1" applyFill="1" applyBorder="1" applyAlignment="1" applyProtection="1">
      <alignment horizontal="center" vertical="center"/>
    </xf>
    <xf numFmtId="179" fontId="53" fillId="0" borderId="5" xfId="194" applyNumberFormat="1" applyFont="1" applyFill="1" applyBorder="1" applyAlignment="1" applyProtection="1">
      <alignment vertical="center"/>
    </xf>
    <xf numFmtId="0" fontId="52" fillId="0" borderId="5" xfId="194" applyNumberFormat="1" applyFont="1" applyFill="1" applyBorder="1" applyAlignment="1" applyProtection="1">
      <alignment vertical="center" wrapText="1"/>
    </xf>
    <xf numFmtId="3" fontId="53" fillId="0" borderId="0" xfId="194" applyNumberFormat="1" applyFont="1" applyFill="1" applyBorder="1" applyAlignment="1">
      <alignment vertical="center"/>
    </xf>
    <xf numFmtId="0" fontId="53" fillId="0" borderId="5" xfId="194" applyNumberFormat="1" applyFont="1" applyFill="1" applyBorder="1" applyAlignment="1" applyProtection="1">
      <alignment vertical="center" shrinkToFit="1"/>
    </xf>
    <xf numFmtId="214" fontId="53" fillId="0" borderId="0" xfId="194" applyNumberFormat="1" applyFont="1" applyFill="1" applyBorder="1" applyAlignment="1">
      <alignment vertical="center"/>
    </xf>
    <xf numFmtId="204" fontId="53" fillId="0" borderId="4" xfId="158" applyNumberFormat="1" applyFont="1" applyFill="1" applyBorder="1" applyAlignment="1">
      <alignment horizontal="right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3" fontId="58" fillId="0" borderId="5" xfId="170" applyNumberFormat="1" applyFont="1" applyFill="1" applyBorder="1" applyAlignment="1" applyProtection="1">
      <alignment horizontal="center" vertical="center"/>
    </xf>
    <xf numFmtId="207" fontId="52" fillId="0" borderId="17" xfId="171" applyNumberFormat="1" applyFont="1" applyFill="1" applyBorder="1" applyAlignment="1">
      <alignment horizontal="center" vertical="center"/>
    </xf>
    <xf numFmtId="0" fontId="52" fillId="0" borderId="5" xfId="185" applyFont="1" applyFill="1" applyBorder="1" applyAlignment="1">
      <alignment horizontal="center" vertical="center"/>
    </xf>
    <xf numFmtId="0" fontId="59" fillId="0" borderId="5" xfId="194" applyFont="1" applyFill="1" applyBorder="1" applyAlignment="1">
      <alignment horizontal="center" vertical="center" shrinkToFit="1"/>
    </xf>
    <xf numFmtId="1" fontId="59" fillId="0" borderId="5" xfId="194" applyNumberFormat="1" applyFont="1" applyFill="1" applyBorder="1" applyAlignment="1">
      <alignment vertical="center" wrapText="1"/>
    </xf>
    <xf numFmtId="0" fontId="59" fillId="0" borderId="5" xfId="194" applyFont="1" applyFill="1" applyBorder="1" applyAlignment="1">
      <alignment horizontal="center" vertical="center"/>
    </xf>
    <xf numFmtId="3" fontId="60" fillId="0" borderId="5" xfId="170" applyNumberFormat="1" applyFont="1" applyFill="1" applyBorder="1" applyAlignment="1" applyProtection="1">
      <alignment vertical="center" shrinkToFit="1"/>
    </xf>
    <xf numFmtId="3" fontId="60" fillId="0" borderId="5" xfId="194" applyNumberFormat="1" applyFont="1" applyFill="1" applyBorder="1" applyAlignment="1" applyProtection="1">
      <alignment vertical="center" shrinkToFit="1"/>
    </xf>
    <xf numFmtId="49" fontId="52" fillId="0" borderId="0" xfId="185" applyNumberFormat="1" applyFont="1" applyFill="1" applyAlignment="1">
      <alignment horizontal="center" vertical="center"/>
    </xf>
    <xf numFmtId="0" fontId="53" fillId="0" borderId="0" xfId="185" applyFont="1" applyFill="1" applyAlignment="1">
      <alignment vertical="center"/>
    </xf>
    <xf numFmtId="0" fontId="53" fillId="0" borderId="0" xfId="185" applyFont="1" applyFill="1" applyAlignment="1">
      <alignment horizontal="center" vertical="center"/>
    </xf>
    <xf numFmtId="210" fontId="53" fillId="0" borderId="0" xfId="185" applyNumberFormat="1" applyFont="1" applyFill="1" applyAlignment="1">
      <alignment horizontal="center" vertical="center"/>
    </xf>
    <xf numFmtId="0" fontId="53" fillId="0" borderId="0" xfId="185" applyFont="1" applyFill="1" applyBorder="1" applyAlignment="1">
      <alignment horizontal="left" vertical="center"/>
    </xf>
    <xf numFmtId="0" fontId="52" fillId="0" borderId="0" xfId="185" applyFont="1" applyFill="1" applyBorder="1" applyAlignment="1">
      <alignment horizontal="left" vertical="center"/>
    </xf>
    <xf numFmtId="0" fontId="53" fillId="0" borderId="0" xfId="185" applyFont="1" applyFill="1" applyBorder="1" applyAlignment="1">
      <alignment horizontal="center" vertical="center"/>
    </xf>
    <xf numFmtId="210" fontId="53" fillId="0" borderId="0" xfId="185" applyNumberFormat="1" applyFont="1" applyFill="1" applyBorder="1" applyAlignment="1">
      <alignment horizontal="center" vertical="center"/>
    </xf>
    <xf numFmtId="49" fontId="52" fillId="0" borderId="12" xfId="185" applyNumberFormat="1" applyFont="1" applyFill="1" applyBorder="1" applyAlignment="1">
      <alignment horizontal="center" vertical="center"/>
    </xf>
    <xf numFmtId="0" fontId="53" fillId="0" borderId="12" xfId="185" applyFont="1" applyFill="1" applyBorder="1" applyAlignment="1">
      <alignment horizontal="left" vertical="center"/>
    </xf>
    <xf numFmtId="0" fontId="53" fillId="0" borderId="12" xfId="185" applyFont="1" applyFill="1" applyBorder="1" applyAlignment="1">
      <alignment horizontal="center" vertical="center"/>
    </xf>
    <xf numFmtId="210" fontId="53" fillId="0" borderId="12" xfId="185" applyNumberFormat="1" applyFont="1" applyFill="1" applyBorder="1" applyAlignment="1">
      <alignment horizontal="center" vertical="center"/>
    </xf>
    <xf numFmtId="49" fontId="53" fillId="0" borderId="5" xfId="191" applyNumberFormat="1" applyFont="1" applyFill="1" applyBorder="1" applyAlignment="1">
      <alignment horizontal="center" vertical="center"/>
    </xf>
    <xf numFmtId="0" fontId="53" fillId="0" borderId="5" xfId="191" applyNumberFormat="1" applyFont="1" applyFill="1" applyBorder="1" applyAlignment="1">
      <alignment horizontal="center" vertical="center"/>
    </xf>
    <xf numFmtId="1" fontId="53" fillId="0" borderId="5" xfId="191" applyNumberFormat="1" applyFont="1" applyFill="1" applyBorder="1" applyAlignment="1">
      <alignment horizontal="left" vertical="center" wrapText="1"/>
    </xf>
    <xf numFmtId="0" fontId="53" fillId="0" borderId="5" xfId="191" applyFont="1" applyFill="1" applyBorder="1" applyAlignment="1">
      <alignment horizontal="center" vertical="center" wrapText="1"/>
    </xf>
    <xf numFmtId="0" fontId="53" fillId="0" borderId="5" xfId="191" applyFont="1" applyFill="1" applyBorder="1" applyAlignment="1">
      <alignment horizontal="left" vertical="center"/>
    </xf>
    <xf numFmtId="0" fontId="62" fillId="0" borderId="5" xfId="191" applyFont="1" applyFill="1" applyBorder="1" applyAlignment="1">
      <alignment horizontal="center" vertical="center" wrapText="1"/>
    </xf>
    <xf numFmtId="3" fontId="53" fillId="0" borderId="0" xfId="194" applyNumberFormat="1" applyFont="1" applyFill="1" applyAlignment="1">
      <alignment shrinkToFit="1"/>
    </xf>
    <xf numFmtId="3" fontId="53" fillId="0" borderId="0" xfId="194" applyNumberFormat="1" applyFont="1" applyFill="1" applyAlignment="1">
      <alignment horizontal="center"/>
    </xf>
    <xf numFmtId="3" fontId="53" fillId="0" borderId="0" xfId="179" applyNumberFormat="1" applyFont="1" applyFill="1" applyAlignment="1"/>
    <xf numFmtId="3" fontId="53" fillId="0" borderId="0" xfId="194" applyNumberFormat="1" applyFont="1" applyFill="1" applyAlignment="1"/>
    <xf numFmtId="0" fontId="61" fillId="0" borderId="0" xfId="194" applyNumberFormat="1" applyFont="1" applyFill="1" applyAlignment="1">
      <alignment shrinkToFit="1"/>
    </xf>
    <xf numFmtId="3" fontId="53" fillId="0" borderId="5" xfId="194" applyNumberFormat="1" applyFont="1" applyFill="1" applyBorder="1" applyAlignment="1">
      <alignment vertical="center"/>
    </xf>
    <xf numFmtId="0" fontId="53" fillId="0" borderId="5" xfId="194" applyNumberFormat="1" applyFont="1" applyFill="1" applyBorder="1" applyAlignment="1" applyProtection="1">
      <alignment vertical="center" wrapText="1" shrinkToFit="1"/>
    </xf>
    <xf numFmtId="3" fontId="53" fillId="0" borderId="5" xfId="179" applyNumberFormat="1" applyFont="1" applyFill="1" applyBorder="1" applyAlignment="1" applyProtection="1">
      <alignment horizontal="right" vertical="center"/>
    </xf>
    <xf numFmtId="216" fontId="53" fillId="0" borderId="5" xfId="165" applyNumberFormat="1" applyFont="1" applyFill="1" applyBorder="1" applyAlignment="1" applyProtection="1">
      <alignment horizontal="right" vertical="center"/>
    </xf>
    <xf numFmtId="3" fontId="54" fillId="0" borderId="5" xfId="194" applyNumberFormat="1" applyFont="1" applyFill="1" applyBorder="1" applyAlignment="1" applyProtection="1">
      <alignment horizontal="left" vertical="center"/>
    </xf>
    <xf numFmtId="179" fontId="53" fillId="0" borderId="5" xfId="179" applyNumberFormat="1" applyFont="1" applyFill="1" applyBorder="1" applyAlignment="1" applyProtection="1">
      <alignment vertical="center"/>
    </xf>
    <xf numFmtId="3" fontId="53" fillId="0" borderId="0" xfId="194" applyNumberFormat="1" applyFont="1" applyFill="1" applyAlignment="1">
      <alignment horizontal="left"/>
    </xf>
    <xf numFmtId="0" fontId="53" fillId="0" borderId="5" xfId="194" applyNumberFormat="1" applyFont="1" applyFill="1" applyBorder="1" applyAlignment="1" applyProtection="1">
      <alignment horizontal="left" vertical="center" shrinkToFit="1"/>
    </xf>
    <xf numFmtId="3" fontId="58" fillId="0" borderId="5" xfId="194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58" fillId="0" borderId="5" xfId="170" applyNumberFormat="1" applyFont="1" applyFill="1" applyBorder="1" applyAlignment="1" applyProtection="1">
      <alignment horizontal="center" vertical="center"/>
    </xf>
    <xf numFmtId="1" fontId="5" fillId="0" borderId="5" xfId="191" applyNumberFormat="1" applyFont="1" applyBorder="1" applyAlignment="1">
      <alignment horizontal="left" vertical="center" wrapText="1"/>
    </xf>
    <xf numFmtId="217" fontId="52" fillId="0" borderId="5" xfId="165" applyNumberFormat="1" applyFont="1" applyFill="1" applyBorder="1" applyAlignment="1">
      <alignment horizontal="center" vertical="center"/>
    </xf>
    <xf numFmtId="0" fontId="5" fillId="0" borderId="5" xfId="191" applyFont="1" applyFill="1" applyBorder="1" applyAlignment="1">
      <alignment horizontal="left" vertical="center" wrapText="1"/>
    </xf>
    <xf numFmtId="0" fontId="5" fillId="0" borderId="5" xfId="185" applyFont="1" applyFill="1" applyBorder="1" applyAlignment="1">
      <alignment horizontal="center" vertical="center"/>
    </xf>
    <xf numFmtId="0" fontId="5" fillId="0" borderId="5" xfId="191" applyFont="1" applyFill="1" applyBorder="1" applyAlignment="1">
      <alignment horizontal="center" vertical="center" wrapText="1"/>
    </xf>
    <xf numFmtId="0" fontId="5" fillId="0" borderId="5" xfId="185" applyFont="1" applyFill="1" applyBorder="1" applyAlignment="1">
      <alignment horizontal="center" vertical="center" wrapText="1"/>
    </xf>
    <xf numFmtId="0" fontId="52" fillId="0" borderId="5" xfId="185" applyNumberFormat="1" applyFont="1" applyFill="1" applyBorder="1" applyAlignment="1">
      <alignment horizontal="center" vertical="center"/>
    </xf>
    <xf numFmtId="3" fontId="65" fillId="0" borderId="5" xfId="194" applyNumberFormat="1" applyFont="1" applyBorder="1" applyAlignment="1" applyProtection="1">
      <alignment horizontal="left" vertical="center"/>
    </xf>
    <xf numFmtId="3" fontId="66" fillId="0" borderId="5" xfId="194" applyNumberFormat="1" applyFont="1" applyFill="1" applyBorder="1" applyAlignment="1" applyProtection="1">
      <alignment horizontal="left" vertical="center"/>
    </xf>
    <xf numFmtId="0" fontId="65" fillId="0" borderId="5" xfId="194" applyNumberFormat="1" applyFont="1" applyBorder="1" applyAlignment="1" applyProtection="1">
      <alignment vertical="center" wrapText="1"/>
    </xf>
    <xf numFmtId="216" fontId="53" fillId="0" borderId="0" xfId="179" applyNumberFormat="1" applyFont="1" applyFill="1" applyAlignment="1">
      <alignment horizontal="center"/>
    </xf>
    <xf numFmtId="216" fontId="56" fillId="0" borderId="0" xfId="190" applyNumberFormat="1" applyFont="1" applyFill="1" applyBorder="1" applyAlignment="1">
      <alignment horizontal="center"/>
    </xf>
    <xf numFmtId="216" fontId="56" fillId="0" borderId="5" xfId="170" applyNumberFormat="1" applyFont="1" applyFill="1" applyBorder="1" applyAlignment="1" applyProtection="1">
      <alignment horizontal="center" vertical="center"/>
    </xf>
    <xf numFmtId="216" fontId="56" fillId="0" borderId="5" xfId="170" applyNumberFormat="1" applyFont="1" applyFill="1" applyBorder="1" applyAlignment="1" applyProtection="1">
      <alignment horizontal="right" vertical="center"/>
    </xf>
    <xf numFmtId="216" fontId="53" fillId="0" borderId="5" xfId="170" applyNumberFormat="1" applyFont="1" applyFill="1" applyBorder="1" applyAlignment="1" applyProtection="1">
      <alignment horizontal="right" vertical="center"/>
    </xf>
    <xf numFmtId="216" fontId="53" fillId="0" borderId="5" xfId="165" applyNumberFormat="1" applyFont="1" applyFill="1" applyBorder="1" applyAlignment="1">
      <alignment horizontal="right" vertical="center"/>
    </xf>
    <xf numFmtId="3" fontId="66" fillId="0" borderId="0" xfId="194" applyNumberFormat="1" applyFont="1" applyFill="1" applyBorder="1" applyAlignment="1"/>
    <xf numFmtId="3" fontId="69" fillId="0" borderId="0" xfId="194" applyNumberFormat="1" applyFont="1" applyFill="1" applyBorder="1" applyAlignment="1">
      <alignment vertical="center"/>
    </xf>
    <xf numFmtId="3" fontId="67" fillId="0" borderId="0" xfId="194" applyNumberFormat="1" applyFont="1" applyFill="1" applyBorder="1" applyAlignment="1">
      <alignment vertical="center"/>
    </xf>
    <xf numFmtId="3" fontId="66" fillId="5" borderId="0" xfId="194" applyNumberFormat="1" applyFont="1" applyFill="1" applyBorder="1" applyAlignment="1"/>
    <xf numFmtId="3" fontId="66" fillId="0" borderId="0" xfId="194" applyNumberFormat="1" applyFont="1" applyFill="1" applyBorder="1" applyAlignment="1">
      <alignment horizontal="center"/>
    </xf>
    <xf numFmtId="3" fontId="67" fillId="5" borderId="0" xfId="194" applyNumberFormat="1" applyFont="1" applyFill="1" applyBorder="1" applyAlignment="1">
      <alignment vertical="center"/>
    </xf>
    <xf numFmtId="214" fontId="53" fillId="0" borderId="0" xfId="194" applyNumberFormat="1" applyFont="1" applyFill="1" applyBorder="1" applyAlignment="1"/>
    <xf numFmtId="214" fontId="5" fillId="0" borderId="0" xfId="194" applyNumberFormat="1" applyFont="1" applyBorder="1" applyAlignment="1"/>
    <xf numFmtId="214" fontId="56" fillId="0" borderId="0" xfId="194" applyNumberFormat="1" applyFont="1" applyFill="1" applyBorder="1" applyAlignment="1">
      <alignment vertical="center"/>
    </xf>
    <xf numFmtId="3" fontId="67" fillId="0" borderId="5" xfId="194" applyNumberFormat="1" applyFont="1" applyFill="1" applyBorder="1" applyAlignment="1" applyProtection="1">
      <alignment horizontal="center" vertical="center"/>
    </xf>
    <xf numFmtId="0" fontId="56" fillId="0" borderId="5" xfId="194" applyNumberFormat="1" applyFont="1" applyFill="1" applyBorder="1" applyAlignment="1" applyProtection="1">
      <alignment horizontal="center" vertical="center" shrinkToFit="1"/>
    </xf>
    <xf numFmtId="3" fontId="67" fillId="0" borderId="5" xfId="194" applyNumberFormat="1" applyFont="1" applyFill="1" applyBorder="1" applyAlignment="1" applyProtection="1">
      <alignment horizontal="center" vertical="center" shrinkToFit="1"/>
    </xf>
    <xf numFmtId="3" fontId="62" fillId="0" borderId="5" xfId="191" applyNumberFormat="1" applyFont="1" applyFill="1" applyBorder="1" applyAlignment="1">
      <alignment horizontal="center" vertical="center" wrapText="1"/>
    </xf>
    <xf numFmtId="3" fontId="66" fillId="0" borderId="5" xfId="194" applyNumberFormat="1" applyFont="1" applyFill="1" applyBorder="1" applyAlignment="1" applyProtection="1">
      <alignment horizontal="center" vertical="center"/>
    </xf>
    <xf numFmtId="3" fontId="53" fillId="0" borderId="5" xfId="194" applyNumberFormat="1" applyFont="1" applyFill="1" applyBorder="1" applyAlignment="1">
      <alignment vertical="center" shrinkToFit="1"/>
    </xf>
    <xf numFmtId="216" fontId="56" fillId="0" borderId="0" xfId="170" applyNumberFormat="1" applyFont="1" applyFill="1" applyAlignment="1">
      <alignment horizontal="center" shrinkToFit="1"/>
    </xf>
    <xf numFmtId="216" fontId="56" fillId="0" borderId="12" xfId="190" applyNumberFormat="1" applyFont="1" applyFill="1" applyBorder="1" applyAlignment="1"/>
    <xf numFmtId="216" fontId="58" fillId="0" borderId="5" xfId="170" applyNumberFormat="1" applyFont="1" applyFill="1" applyBorder="1" applyAlignment="1" applyProtection="1">
      <alignment horizontal="right" vertical="center" shrinkToFit="1"/>
    </xf>
    <xf numFmtId="216" fontId="56" fillId="0" borderId="5" xfId="170" applyNumberFormat="1" applyFont="1" applyFill="1" applyBorder="1" applyAlignment="1" applyProtection="1">
      <alignment horizontal="right" vertical="center" shrinkToFit="1"/>
    </xf>
    <xf numFmtId="216" fontId="60" fillId="0" borderId="5" xfId="170" applyNumberFormat="1" applyFont="1" applyFill="1" applyBorder="1" applyAlignment="1" applyProtection="1">
      <alignment horizontal="right" vertical="center" shrinkToFit="1"/>
    </xf>
    <xf numFmtId="179" fontId="56" fillId="0" borderId="5" xfId="170" applyNumberFormat="1" applyFont="1" applyFill="1" applyBorder="1" applyAlignment="1" applyProtection="1">
      <alignment horizontal="right" vertical="center" shrinkToFit="1"/>
    </xf>
    <xf numFmtId="216" fontId="5" fillId="0" borderId="5" xfId="165" applyNumberFormat="1" applyFont="1" applyFill="1" applyBorder="1" applyAlignment="1">
      <alignment horizontal="right" vertical="center"/>
    </xf>
    <xf numFmtId="0" fontId="66" fillId="0" borderId="4" xfId="168" applyNumberFormat="1" applyFont="1" applyFill="1" applyBorder="1" applyAlignment="1">
      <alignment horizontal="left" vertical="center"/>
    </xf>
    <xf numFmtId="3" fontId="71" fillId="0" borderId="5" xfId="194" applyNumberFormat="1" applyFont="1" applyFill="1" applyBorder="1" applyAlignment="1" applyProtection="1">
      <alignment horizontal="center" vertical="center"/>
    </xf>
    <xf numFmtId="3" fontId="67" fillId="0" borderId="5" xfId="194" applyNumberFormat="1" applyFont="1" applyFill="1" applyBorder="1" applyAlignment="1" applyProtection="1">
      <alignment horizontal="center" vertical="center" wrapText="1"/>
    </xf>
    <xf numFmtId="0" fontId="52" fillId="0" borderId="5" xfId="185" applyFont="1" applyFill="1" applyBorder="1" applyAlignment="1">
      <alignment horizontal="center" vertical="center"/>
    </xf>
    <xf numFmtId="179" fontId="5" fillId="0" borderId="5" xfId="165" applyNumberFormat="1" applyFont="1" applyFill="1" applyBorder="1" applyAlignment="1">
      <alignment horizontal="right" vertical="center"/>
    </xf>
    <xf numFmtId="0" fontId="74" fillId="0" borderId="5" xfId="194" applyFont="1" applyFill="1" applyBorder="1" applyAlignment="1">
      <alignment vertical="center" shrinkToFit="1"/>
    </xf>
    <xf numFmtId="207" fontId="66" fillId="0" borderId="17" xfId="171" applyNumberFormat="1" applyFont="1" applyFill="1" applyBorder="1" applyAlignment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207" fontId="66" fillId="0" borderId="9" xfId="171" applyNumberFormat="1" applyFont="1" applyFill="1" applyBorder="1" applyAlignment="1">
      <alignment horizontal="center" vertical="center" wrapText="1"/>
    </xf>
    <xf numFmtId="0" fontId="52" fillId="0" borderId="5" xfId="185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3" fontId="5" fillId="0" borderId="5" xfId="185" applyNumberFormat="1" applyFont="1" applyFill="1" applyBorder="1" applyAlignment="1" applyProtection="1">
      <alignment horizontal="left" vertical="center" wrapText="1"/>
    </xf>
    <xf numFmtId="0" fontId="72" fillId="0" borderId="5" xfId="194" applyFont="1" applyFill="1" applyBorder="1" applyAlignment="1">
      <alignment vertical="center" shrinkToFit="1"/>
    </xf>
    <xf numFmtId="179" fontId="5" fillId="0" borderId="5" xfId="0" applyNumberFormat="1" applyFont="1" applyFill="1" applyBorder="1" applyAlignment="1">
      <alignment horizontal="right" vertical="center"/>
    </xf>
    <xf numFmtId="179" fontId="53" fillId="0" borderId="5" xfId="165" applyNumberFormat="1" applyFont="1" applyFill="1" applyBorder="1" applyAlignment="1">
      <alignment horizontal="right" vertical="center"/>
    </xf>
    <xf numFmtId="179" fontId="52" fillId="0" borderId="5" xfId="165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179" fontId="56" fillId="0" borderId="5" xfId="170" applyNumberFormat="1" applyFont="1" applyFill="1" applyBorder="1" applyAlignment="1" applyProtection="1">
      <alignment horizontal="right" vertical="center"/>
    </xf>
    <xf numFmtId="3" fontId="66" fillId="0" borderId="5" xfId="194" applyNumberFormat="1" applyFont="1" applyFill="1" applyBorder="1" applyAlignment="1" applyProtection="1">
      <alignment horizontal="left" vertical="center" shrinkToFit="1"/>
    </xf>
    <xf numFmtId="3" fontId="72" fillId="0" borderId="5" xfId="194" applyNumberFormat="1" applyFont="1" applyFill="1" applyBorder="1" applyAlignment="1">
      <alignment vertical="center" shrinkToFit="1"/>
    </xf>
    <xf numFmtId="0" fontId="66" fillId="0" borderId="5" xfId="194" applyFont="1" applyFill="1" applyBorder="1" applyAlignment="1">
      <alignment horizontal="center" vertical="center"/>
    </xf>
    <xf numFmtId="0" fontId="66" fillId="0" borderId="4" xfId="192" applyFont="1" applyFill="1" applyBorder="1" applyAlignment="1">
      <alignment horizontal="distributed" vertical="center"/>
    </xf>
    <xf numFmtId="0" fontId="66" fillId="0" borderId="14" xfId="192" applyFont="1" applyFill="1" applyBorder="1" applyAlignment="1">
      <alignment vertical="center"/>
    </xf>
    <xf numFmtId="211" fontId="53" fillId="0" borderId="4" xfId="158" applyNumberFormat="1" applyFont="1" applyFill="1" applyBorder="1" applyAlignment="1">
      <alignment horizontal="right" vertical="center" shrinkToFit="1"/>
    </xf>
    <xf numFmtId="0" fontId="53" fillId="0" borderId="18" xfId="192" applyFont="1" applyFill="1" applyBorder="1" applyAlignment="1">
      <alignment horizontal="center" vertical="center" textRotation="255"/>
    </xf>
    <xf numFmtId="0" fontId="53" fillId="0" borderId="17" xfId="192" applyFont="1" applyFill="1" applyBorder="1" applyAlignment="1">
      <alignment horizontal="center" vertical="center" textRotation="255"/>
    </xf>
    <xf numFmtId="0" fontId="63" fillId="0" borderId="0" xfId="192" applyFont="1" applyFill="1" applyAlignment="1">
      <alignment horizontal="center" vertical="center"/>
    </xf>
    <xf numFmtId="0" fontId="52" fillId="0" borderId="5" xfId="192" applyFont="1" applyFill="1" applyBorder="1" applyAlignment="1">
      <alignment horizontal="center" vertical="center"/>
    </xf>
    <xf numFmtId="0" fontId="52" fillId="0" borderId="15" xfId="192" applyFont="1" applyFill="1" applyBorder="1" applyAlignment="1">
      <alignment horizontal="center" vertical="center"/>
    </xf>
    <xf numFmtId="0" fontId="53" fillId="0" borderId="9" xfId="192" applyFont="1" applyFill="1" applyBorder="1" applyAlignment="1">
      <alignment horizontal="center" vertical="center" textRotation="255"/>
    </xf>
    <xf numFmtId="3" fontId="58" fillId="0" borderId="5" xfId="194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64" fillId="0" borderId="0" xfId="190" applyNumberFormat="1" applyFont="1" applyFill="1" applyBorder="1" applyAlignment="1">
      <alignment horizontal="center" vertical="center"/>
    </xf>
    <xf numFmtId="3" fontId="58" fillId="0" borderId="16" xfId="194" applyNumberFormat="1" applyFont="1" applyFill="1" applyBorder="1" applyAlignment="1">
      <alignment horizontal="center" vertical="center"/>
    </xf>
    <xf numFmtId="3" fontId="58" fillId="0" borderId="10" xfId="194" applyNumberFormat="1" applyFont="1" applyFill="1" applyBorder="1" applyAlignment="1">
      <alignment horizontal="center" vertical="center"/>
    </xf>
    <xf numFmtId="3" fontId="58" fillId="0" borderId="11" xfId="194" applyNumberFormat="1" applyFont="1" applyFill="1" applyBorder="1" applyAlignment="1">
      <alignment horizontal="center" vertical="center"/>
    </xf>
    <xf numFmtId="3" fontId="58" fillId="0" borderId="13" xfId="194" applyNumberFormat="1" applyFont="1" applyFill="1" applyBorder="1" applyAlignment="1">
      <alignment horizontal="center" vertical="center"/>
    </xf>
    <xf numFmtId="3" fontId="58" fillId="0" borderId="10" xfId="194" applyNumberFormat="1" applyFont="1" applyFill="1" applyBorder="1" applyAlignment="1" applyProtection="1">
      <alignment horizontal="center" vertical="center"/>
    </xf>
    <xf numFmtId="3" fontId="58" fillId="0" borderId="13" xfId="194" applyNumberFormat="1" applyFont="1" applyFill="1" applyBorder="1" applyAlignment="1" applyProtection="1">
      <alignment horizontal="center" vertical="center"/>
    </xf>
    <xf numFmtId="216" fontId="58" fillId="0" borderId="5" xfId="170" applyNumberFormat="1" applyFont="1" applyFill="1" applyBorder="1" applyAlignment="1" applyProtection="1">
      <alignment horizontal="center" vertical="center" shrinkToFit="1"/>
    </xf>
    <xf numFmtId="3" fontId="58" fillId="0" borderId="5" xfId="170" applyNumberFormat="1" applyFont="1" applyFill="1" applyBorder="1" applyAlignment="1" applyProtection="1">
      <alignment horizontal="center" vertical="center"/>
    </xf>
    <xf numFmtId="49" fontId="52" fillId="0" borderId="16" xfId="185" applyNumberFormat="1" applyFont="1" applyFill="1" applyBorder="1" applyAlignment="1">
      <alignment horizontal="center" vertical="center"/>
    </xf>
    <xf numFmtId="49" fontId="52" fillId="0" borderId="10" xfId="185" applyNumberFormat="1" applyFont="1" applyFill="1" applyBorder="1" applyAlignment="1">
      <alignment horizontal="center" vertical="center"/>
    </xf>
    <xf numFmtId="49" fontId="52" fillId="0" borderId="11" xfId="185" applyNumberFormat="1" applyFont="1" applyFill="1" applyBorder="1" applyAlignment="1">
      <alignment horizontal="center" vertical="center"/>
    </xf>
    <xf numFmtId="49" fontId="52" fillId="0" borderId="13" xfId="185" applyNumberFormat="1" applyFont="1" applyFill="1" applyBorder="1" applyAlignment="1">
      <alignment horizontal="center" vertical="center"/>
    </xf>
    <xf numFmtId="0" fontId="63" fillId="0" borderId="0" xfId="185" applyFont="1" applyFill="1" applyBorder="1" applyAlignment="1">
      <alignment horizontal="center" vertical="center"/>
    </xf>
    <xf numFmtId="207" fontId="52" fillId="0" borderId="9" xfId="171" applyNumberFormat="1" applyFont="1" applyFill="1" applyBorder="1" applyAlignment="1">
      <alignment horizontal="center" vertical="center"/>
    </xf>
    <xf numFmtId="207" fontId="52" fillId="0" borderId="17" xfId="171" applyNumberFormat="1" applyFont="1" applyFill="1" applyBorder="1" applyAlignment="1">
      <alignment horizontal="center" vertical="center"/>
    </xf>
    <xf numFmtId="0" fontId="52" fillId="0" borderId="5" xfId="185" applyFont="1" applyFill="1" applyBorder="1" applyAlignment="1">
      <alignment horizontal="center" vertical="center"/>
    </xf>
    <xf numFmtId="207" fontId="52" fillId="0" borderId="16" xfId="171" applyNumberFormat="1" applyFont="1" applyFill="1" applyBorder="1" applyAlignment="1">
      <alignment horizontal="center" vertical="center"/>
    </xf>
    <xf numFmtId="207" fontId="52" fillId="0" borderId="10" xfId="171" applyNumberFormat="1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65" fillId="0" borderId="9" xfId="194" applyNumberFormat="1" applyFont="1" applyBorder="1" applyAlignment="1" applyProtection="1">
      <alignment vertical="center" wrapText="1"/>
    </xf>
    <xf numFmtId="0" fontId="0" fillId="0" borderId="17" xfId="0" applyBorder="1" applyAlignment="1">
      <alignment vertical="center"/>
    </xf>
    <xf numFmtId="0" fontId="65" fillId="0" borderId="18" xfId="194" applyNumberFormat="1" applyFont="1" applyBorder="1" applyAlignment="1" applyProtection="1">
      <alignment vertical="center" wrapText="1"/>
    </xf>
    <xf numFmtId="0" fontId="0" fillId="0" borderId="18" xfId="0" applyBorder="1" applyAlignment="1">
      <alignment vertical="center"/>
    </xf>
    <xf numFmtId="216" fontId="58" fillId="0" borderId="5" xfId="170" applyNumberFormat="1" applyFont="1" applyFill="1" applyBorder="1" applyAlignment="1" applyProtection="1">
      <alignment horizontal="center" vertical="center"/>
    </xf>
    <xf numFmtId="0" fontId="52" fillId="0" borderId="5" xfId="194" applyNumberFormat="1" applyFont="1" applyFill="1" applyBorder="1" applyAlignment="1" applyProtection="1">
      <alignment horizontal="center" vertical="center" shrinkToFit="1"/>
    </xf>
    <xf numFmtId="3" fontId="57" fillId="0" borderId="0" xfId="190" applyNumberFormat="1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center" vertical="center" shrinkToFit="1"/>
    </xf>
    <xf numFmtId="0" fontId="58" fillId="0" borderId="5" xfId="170" applyNumberFormat="1" applyFont="1" applyFill="1" applyBorder="1" applyAlignment="1" applyProtection="1">
      <alignment horizontal="center" vertical="center"/>
    </xf>
  </cellXfs>
  <cellStyles count="199">
    <cellStyle name="          _x000d__x000a_386grabber=vga.3gr_x000d__x000a_" xfId="1" xr:uid="{00000000-0005-0000-0000-000000000000}"/>
    <cellStyle name="          _x000d__x000a_mouse.drv=lmouse.drv" xfId="2" xr:uid="{00000000-0005-0000-0000-000001000000}"/>
    <cellStyle name="          _x000d__x000a_shell=progman.exe_x000d__x000a_m" xfId="3" xr:uid="{00000000-0005-0000-0000-000002000000}"/>
    <cellStyle name="#_cost9702 (2)_계통도 (2)_계통도 " xfId="4" xr:uid="{00000000-0005-0000-0000-000003000000}"/>
    <cellStyle name="#_cost9702 (2)_공사비예산서 (2)_계통도 " xfId="5" xr:uid="{00000000-0005-0000-0000-000004000000}"/>
    <cellStyle name="#_cost9702 (2)_공사비예산서_계통도 " xfId="6" xr:uid="{00000000-0005-0000-0000-000005000000}"/>
    <cellStyle name="#_cost9702 (2)_예정공정표 (2)_계통도 " xfId="7" xr:uid="{00000000-0005-0000-0000-000006000000}"/>
    <cellStyle name="#_cost9702 (2)_주요자재_계통도 " xfId="8" xr:uid="{00000000-0005-0000-0000-000007000000}"/>
    <cellStyle name="#_목차 " xfId="9" xr:uid="{00000000-0005-0000-0000-000008000000}"/>
    <cellStyle name="#_예정공정표_계통도 " xfId="10" xr:uid="{00000000-0005-0000-0000-000009000000}"/>
    <cellStyle name="#_품셈 " xfId="11" xr:uid="{00000000-0005-0000-0000-00000A000000}"/>
    <cellStyle name="#_품셈_계통도 " xfId="12" xr:uid="{00000000-0005-0000-0000-00000B000000}"/>
    <cellStyle name="??&amp;O?&amp;H?_x0008__x000f__x0007_?_x0007__x0001__x0001_" xfId="13" xr:uid="{00000000-0005-0000-0000-00000C000000}"/>
    <cellStyle name="??&amp;O?&amp;H?_x0008_??_x0007__x0001__x0001_" xfId="14" xr:uid="{00000000-0005-0000-0000-00000D000000}"/>
    <cellStyle name="?W?_laroux" xfId="15" xr:uid="{00000000-0005-0000-0000-00000E000000}"/>
    <cellStyle name="_인원계획표 " xfId="16" xr:uid="{00000000-0005-0000-0000-00000F000000}"/>
    <cellStyle name="_인원계획표 _적격 " xfId="17" xr:uid="{00000000-0005-0000-0000-000010000000}"/>
    <cellStyle name="_입찰표지 " xfId="18" xr:uid="{00000000-0005-0000-0000-000011000000}"/>
    <cellStyle name="_적격 " xfId="19" xr:uid="{00000000-0005-0000-0000-000012000000}"/>
    <cellStyle name="_적격 _집행갑지 " xfId="20" xr:uid="{00000000-0005-0000-0000-000013000000}"/>
    <cellStyle name="_적격(화산) " xfId="21" xr:uid="{00000000-0005-0000-0000-000014000000}"/>
    <cellStyle name="_집행갑지 " xfId="22" xr:uid="{00000000-0005-0000-0000-000015000000}"/>
    <cellStyle name="’E‰Y [0.00]_laroux" xfId="23" xr:uid="{00000000-0005-0000-0000-000016000000}"/>
    <cellStyle name="’E‰Y_laroux" xfId="24" xr:uid="{00000000-0005-0000-0000-000017000000}"/>
    <cellStyle name="¤@?e_TEST-1 " xfId="25" xr:uid="{00000000-0005-0000-0000-000018000000}"/>
    <cellStyle name="1" xfId="26" xr:uid="{00000000-0005-0000-0000-000019000000}"/>
    <cellStyle name="1_시민계략공사" xfId="27" xr:uid="{00000000-0005-0000-0000-00001A000000}"/>
    <cellStyle name="1_시민계략공사_2002년도각종계산서하반기원본" xfId="28" xr:uid="{00000000-0005-0000-0000-00001B000000}"/>
    <cellStyle name="1_시민계략공사_2002년도각종계산서하반기원본_견적서(소각재 분리시설 설치공사) 일위대가" xfId="29" xr:uid="{00000000-0005-0000-0000-00001C000000}"/>
    <cellStyle name="1_시민계략공사_2002년도각종계산서하반기원본_일위대가표양식" xfId="30" xr:uid="{00000000-0005-0000-0000-00001D000000}"/>
    <cellStyle name="1_시민계략공사_Book2" xfId="31" xr:uid="{00000000-0005-0000-0000-00001E000000}"/>
    <cellStyle name="1_시민계략공사_보일약국~순국비간 도로개설 가로등설치공사" xfId="32" xr:uid="{00000000-0005-0000-0000-00001F000000}"/>
    <cellStyle name="1_시민계략공사_봉산면보건지소신축공사(전기)11월30일변경" xfId="33" xr:uid="{00000000-0005-0000-0000-000020000000}"/>
    <cellStyle name="1_시민계략공사_북문팔마로확포장공사가로등" xfId="34" xr:uid="{00000000-0005-0000-0000-000021000000}"/>
    <cellStyle name="1_시민계략공사_전기-한남" xfId="35" xr:uid="{00000000-0005-0000-0000-000022000000}"/>
    <cellStyle name="2)" xfId="36" xr:uid="{00000000-0005-0000-0000-000023000000}"/>
    <cellStyle name="A¡§¡ⓒ¡E¡þ¡EO [0]_¡§oA￠R¨¡￠RI￠R¨¡eE¨Io " xfId="37" xr:uid="{00000000-0005-0000-0000-000024000000}"/>
    <cellStyle name="A¡§¡ⓒ¡E¡þ¡EO_¡§oA￠R¨¡￠RI￠R¨¡eE¨Io " xfId="38" xr:uid="{00000000-0005-0000-0000-000025000000}"/>
    <cellStyle name="A¨­￠￢￠O [0]_¨oA¡Æ¡I¡ÆeEⓒo " xfId="39" xr:uid="{00000000-0005-0000-0000-000026000000}"/>
    <cellStyle name="A¨­￠￢￠O_¨oA¡Æ¡I¡ÆeEⓒo " xfId="40" xr:uid="{00000000-0005-0000-0000-000027000000}"/>
    <cellStyle name="Aee­ " xfId="41" xr:uid="{00000000-0005-0000-0000-000028000000}"/>
    <cellStyle name="AeE­ [0]_ 2ÆAAþº° " xfId="42" xr:uid="{00000000-0005-0000-0000-000029000000}"/>
    <cellStyle name="ÅëÈ­ [0]_¸ðÇü¸·" xfId="43" xr:uid="{00000000-0005-0000-0000-00002A000000}"/>
    <cellStyle name="AeE­ [0]_¼oAI¼º " xfId="44" xr:uid="{00000000-0005-0000-0000-00002B000000}"/>
    <cellStyle name="ÅëÈ­ [0]_Á¾ÇÕÃ¶°ÅºÐ " xfId="45" xr:uid="{00000000-0005-0000-0000-00002C000000}"/>
    <cellStyle name="AeE­ [0]_AMT " xfId="46" xr:uid="{00000000-0005-0000-0000-00002D000000}"/>
    <cellStyle name="ÅëÈ­ [0]_INQUIRY ¿µ¾÷ÃßÁø " xfId="47" xr:uid="{00000000-0005-0000-0000-00002E000000}"/>
    <cellStyle name="AeE­ [0]_INQUIRY ¿μ¾÷AßAø " xfId="48" xr:uid="{00000000-0005-0000-0000-00002F000000}"/>
    <cellStyle name="AeE­_ 2ÆAAþº° " xfId="49" xr:uid="{00000000-0005-0000-0000-000030000000}"/>
    <cellStyle name="ÅëÈ­_¸ðÇü¸·" xfId="50" xr:uid="{00000000-0005-0000-0000-000031000000}"/>
    <cellStyle name="AeE­_¼oAI¼º " xfId="51" xr:uid="{00000000-0005-0000-0000-000032000000}"/>
    <cellStyle name="ÅëÈ­_Á¾ÇÕ½Å¼³ " xfId="52" xr:uid="{00000000-0005-0000-0000-000033000000}"/>
    <cellStyle name="AeE­_A¾COA¶°AºÐ " xfId="53" xr:uid="{00000000-0005-0000-0000-000034000000}"/>
    <cellStyle name="ÅëÈ­_Á¾ÇÕÃ¶°ÅºÐ " xfId="54" xr:uid="{00000000-0005-0000-0000-000035000000}"/>
    <cellStyle name="AeE­_AMT " xfId="55" xr:uid="{00000000-0005-0000-0000-000036000000}"/>
    <cellStyle name="ÅëÈ­_INQUIRY ¿µ¾÷ÃßÁø " xfId="56" xr:uid="{00000000-0005-0000-0000-000037000000}"/>
    <cellStyle name="AeE­_INQUIRY ¿μ¾÷AßAø " xfId="57" xr:uid="{00000000-0005-0000-0000-000038000000}"/>
    <cellStyle name="Aee¡ⓒ " xfId="58" xr:uid="{00000000-0005-0000-0000-000039000000}"/>
    <cellStyle name="AeE¡ⓒ [0]_¨oA¡Æ¡I¡ÆeEⓒo " xfId="59" xr:uid="{00000000-0005-0000-0000-00003A000000}"/>
    <cellStyle name="AeE¡ⓒ_¨oA¡Æ¡I¡ÆeEⓒo " xfId="60" xr:uid="{00000000-0005-0000-0000-00003B000000}"/>
    <cellStyle name="AeE￠R¨I [0]_¡§oA￠R¨¡￠RI￠R¨¡eE¨Io " xfId="61" xr:uid="{00000000-0005-0000-0000-00003C000000}"/>
    <cellStyle name="AeE￠R¨I_¡§oA￠R¨¡￠RI￠R¨¡eE¨Io " xfId="62" xr:uid="{00000000-0005-0000-0000-00003D000000}"/>
    <cellStyle name="ALIGNMENT" xfId="63" xr:uid="{00000000-0005-0000-0000-00003E000000}"/>
    <cellStyle name="AÞ¸¶ [0]_ 2ÆAAþº° " xfId="64" xr:uid="{00000000-0005-0000-0000-00003F000000}"/>
    <cellStyle name="ÄÞ¸¶ [0]_¸ðÇü¸·" xfId="65" xr:uid="{00000000-0005-0000-0000-000040000000}"/>
    <cellStyle name="AÞ¸¶ [0]_¼oAI¼º " xfId="66" xr:uid="{00000000-0005-0000-0000-000041000000}"/>
    <cellStyle name="ÄÞ¸¶ [0]_Á¾ÇÕÃ¶°ÅºÐ " xfId="67" xr:uid="{00000000-0005-0000-0000-000042000000}"/>
    <cellStyle name="AÞ¸¶ [0]_AN°y(1.25) " xfId="68" xr:uid="{00000000-0005-0000-0000-000043000000}"/>
    <cellStyle name="ÄÞ¸¶ [0]_INQUIRY ¿µ¾÷ÃßÁø " xfId="69" xr:uid="{00000000-0005-0000-0000-000044000000}"/>
    <cellStyle name="AÞ¸¶ [0]_INQUIRY ¿μ¾÷AßAø " xfId="70" xr:uid="{00000000-0005-0000-0000-000045000000}"/>
    <cellStyle name="AÞ¸¶_ 2ÆAAþº° " xfId="71" xr:uid="{00000000-0005-0000-0000-000046000000}"/>
    <cellStyle name="ÄÞ¸¶_¸ðÇü¸·" xfId="72" xr:uid="{00000000-0005-0000-0000-000047000000}"/>
    <cellStyle name="AÞ¸¶_¼oAI¼º " xfId="73" xr:uid="{00000000-0005-0000-0000-000048000000}"/>
    <cellStyle name="ÄÞ¸¶_Á¾ÇÕÃ¶°ÅºÐ " xfId="74" xr:uid="{00000000-0005-0000-0000-000049000000}"/>
    <cellStyle name="AÞ¸¶_AN°y(1.25) " xfId="75" xr:uid="{00000000-0005-0000-0000-00004A000000}"/>
    <cellStyle name="C¡IA¨ª_¡ic¨u¡A¨￢I¨￢¡Æ AN¡Æe " xfId="76" xr:uid="{00000000-0005-0000-0000-00004B000000}"/>
    <cellStyle name="C￠RIA¡§¨￡_¨Iⓒª￠Ri¡§uo 4DR NB PHASE I ACT " xfId="77" xr:uid="{00000000-0005-0000-0000-00004C000000}"/>
    <cellStyle name="C￥AØ_  FAB AIA¤  " xfId="78" xr:uid="{00000000-0005-0000-0000-00004D000000}"/>
    <cellStyle name="Ç¥ÁØ_¸ðÇü¸·" xfId="79" xr:uid="{00000000-0005-0000-0000-00004E000000}"/>
    <cellStyle name="C￥AØ_¿μ¾÷CoE² " xfId="80" xr:uid="{00000000-0005-0000-0000-00004F000000}"/>
    <cellStyle name="Ç¥ÁØ_»ç¾÷ºÎº° ÃÑ°è " xfId="81" xr:uid="{00000000-0005-0000-0000-000050000000}"/>
    <cellStyle name="C￥AØ_≫c¾÷ºIº° AN°e " xfId="82" xr:uid="{00000000-0005-0000-0000-000051000000}"/>
    <cellStyle name="Ç¥ÁØ_°­´ç (2)" xfId="83" xr:uid="{00000000-0005-0000-0000-000052000000}"/>
    <cellStyle name="C￥AØ_°­´c (2)_내역(1차)" xfId="84" xr:uid="{00000000-0005-0000-0000-000053000000}"/>
    <cellStyle name="Ç¥ÁØ_°­´ç (2)_내역(1차)" xfId="85" xr:uid="{00000000-0005-0000-0000-000054000000}"/>
    <cellStyle name="C￥AØ_°­´c (2)_소방기계내역서(수정1108)-mec" xfId="86" xr:uid="{00000000-0005-0000-0000-000055000000}"/>
    <cellStyle name="Ç¥ÁØ_°­´ç (2)_소방기계내역서(수정1108)-mec" xfId="87" xr:uid="{00000000-0005-0000-0000-000056000000}"/>
    <cellStyle name="C￥AØ_¾c½A " xfId="88" xr:uid="{00000000-0005-0000-0000-000057000000}"/>
    <cellStyle name="Ç¥ÁØ_Á¾ÇÕ½Å¼³ " xfId="89" xr:uid="{00000000-0005-0000-0000-000058000000}"/>
    <cellStyle name="C￥AØ_A¾COA¶°AºÐ " xfId="90" xr:uid="{00000000-0005-0000-0000-000059000000}"/>
    <cellStyle name="Ç¥ÁØ_Á¾ÇÕÃ¶°ÅºÐ " xfId="91" xr:uid="{00000000-0005-0000-0000-00005A000000}"/>
    <cellStyle name="C￥AØ_AN°y(1.25) " xfId="92" xr:uid="{00000000-0005-0000-0000-00005B000000}"/>
    <cellStyle name="Ç¥ÁØ_Áý°èÇ¥(2¿ù) " xfId="93" xr:uid="{00000000-0005-0000-0000-00005C000000}"/>
    <cellStyle name="C￥AØ_CoAo¹yAI °A¾×¿ⓒ½A " xfId="94" xr:uid="{00000000-0005-0000-0000-00005D000000}"/>
    <cellStyle name="Ç¥ÁØ_laroux_1_Á¾ÇÕ½Å¼³ " xfId="95" xr:uid="{00000000-0005-0000-0000-00005E000000}"/>
    <cellStyle name="C￥AØ_laroux_1_A¾COA¶°AºÐ " xfId="96" xr:uid="{00000000-0005-0000-0000-00005F000000}"/>
    <cellStyle name="Ç¥ÁØ_laroux_1_Á¾ÇÕÃ¶°ÅºÐ " xfId="97" xr:uid="{00000000-0005-0000-0000-000060000000}"/>
    <cellStyle name="C￥AØ_laroux_A¾CO½A¼³ " xfId="98" xr:uid="{00000000-0005-0000-0000-000061000000}"/>
    <cellStyle name="Ç¥ÁØ_laroux_Á¾ÇÕ½Å¼³ " xfId="99" xr:uid="{00000000-0005-0000-0000-000062000000}"/>
    <cellStyle name="C￥AØ_laroux_A¾COA¶°AºÐ " xfId="100" xr:uid="{00000000-0005-0000-0000-000063000000}"/>
    <cellStyle name="Ç¥ÁØ_laroux_Á¾ÇÕÃ¶°ÅºÐ " xfId="101" xr:uid="{00000000-0005-0000-0000-000064000000}"/>
    <cellStyle name="C￥AØ_PERSONAL" xfId="102" xr:uid="{00000000-0005-0000-0000-000065000000}"/>
    <cellStyle name="category" xfId="103" xr:uid="{00000000-0005-0000-0000-000066000000}"/>
    <cellStyle name="Comma" xfId="104" xr:uid="{00000000-0005-0000-0000-000067000000}"/>
    <cellStyle name="Comma [0]" xfId="105" xr:uid="{00000000-0005-0000-0000-000068000000}"/>
    <cellStyle name="comma zerodec" xfId="106" xr:uid="{00000000-0005-0000-0000-000069000000}"/>
    <cellStyle name="Comma_ SG&amp;A Bridge " xfId="107" xr:uid="{00000000-0005-0000-0000-00006A000000}"/>
    <cellStyle name="Comma0" xfId="108" xr:uid="{00000000-0005-0000-0000-00006B000000}"/>
    <cellStyle name="Currency" xfId="109" xr:uid="{00000000-0005-0000-0000-00006C000000}"/>
    <cellStyle name="Currency [0]" xfId="110" xr:uid="{00000000-0005-0000-0000-00006D000000}"/>
    <cellStyle name="Currency_ SG&amp;A Bridge " xfId="111" xr:uid="{00000000-0005-0000-0000-00006E000000}"/>
    <cellStyle name="Currency0" xfId="112" xr:uid="{00000000-0005-0000-0000-00006F000000}"/>
    <cellStyle name="Currency1" xfId="113" xr:uid="{00000000-0005-0000-0000-000070000000}"/>
    <cellStyle name="Date" xfId="114" xr:uid="{00000000-0005-0000-0000-000071000000}"/>
    <cellStyle name="Dezimal [0]_laroux" xfId="115" xr:uid="{00000000-0005-0000-0000-000072000000}"/>
    <cellStyle name="Dezimal_laroux" xfId="116" xr:uid="{00000000-0005-0000-0000-000073000000}"/>
    <cellStyle name="Dollar (zero dec)" xfId="117" xr:uid="{00000000-0005-0000-0000-000074000000}"/>
    <cellStyle name="Fixed" xfId="118" xr:uid="{00000000-0005-0000-0000-000075000000}"/>
    <cellStyle name="Followed Hyperlink" xfId="119" xr:uid="{00000000-0005-0000-0000-000076000000}"/>
    <cellStyle name="Grey" xfId="120" xr:uid="{00000000-0005-0000-0000-000077000000}"/>
    <cellStyle name="HEADER" xfId="121" xr:uid="{00000000-0005-0000-0000-000078000000}"/>
    <cellStyle name="Header1" xfId="122" xr:uid="{00000000-0005-0000-0000-000079000000}"/>
    <cellStyle name="Header2" xfId="123" xr:uid="{00000000-0005-0000-0000-00007A000000}"/>
    <cellStyle name="Heading 1" xfId="124" xr:uid="{00000000-0005-0000-0000-00007B000000}"/>
    <cellStyle name="Heading 2" xfId="125" xr:uid="{00000000-0005-0000-0000-00007C000000}"/>
    <cellStyle name="Hyperlink" xfId="126" xr:uid="{00000000-0005-0000-0000-00007D000000}"/>
    <cellStyle name="Input [yellow]" xfId="127" xr:uid="{00000000-0005-0000-0000-00007E000000}"/>
    <cellStyle name="Milliers [0]_Arabian Spec" xfId="128" xr:uid="{00000000-0005-0000-0000-00007F000000}"/>
    <cellStyle name="Milliers_Arabian Spec" xfId="129" xr:uid="{00000000-0005-0000-0000-000080000000}"/>
    <cellStyle name="Model" xfId="130" xr:uid="{00000000-0005-0000-0000-000081000000}"/>
    <cellStyle name="Mon?aire [0]_Arabian Spec" xfId="131" xr:uid="{00000000-0005-0000-0000-000082000000}"/>
    <cellStyle name="Mon?aire_Arabian Spec" xfId="132" xr:uid="{00000000-0005-0000-0000-000083000000}"/>
    <cellStyle name="no dec" xfId="133" xr:uid="{00000000-0005-0000-0000-000084000000}"/>
    <cellStyle name="Normal - Style1" xfId="134" xr:uid="{00000000-0005-0000-0000-000085000000}"/>
    <cellStyle name="Normal_ SG&amp;A Bridge " xfId="135" xr:uid="{00000000-0005-0000-0000-000086000000}"/>
    <cellStyle name="Percent" xfId="136" xr:uid="{00000000-0005-0000-0000-000087000000}"/>
    <cellStyle name="Percent [2]" xfId="137" xr:uid="{00000000-0005-0000-0000-000088000000}"/>
    <cellStyle name="Standard_laroux" xfId="138" xr:uid="{00000000-0005-0000-0000-000089000000}"/>
    <cellStyle name="subhead" xfId="139" xr:uid="{00000000-0005-0000-0000-00008A000000}"/>
    <cellStyle name="title [1]" xfId="140" xr:uid="{00000000-0005-0000-0000-00008B000000}"/>
    <cellStyle name="title [2]" xfId="141" xr:uid="{00000000-0005-0000-0000-00008C000000}"/>
    <cellStyle name="Total" xfId="142" xr:uid="{00000000-0005-0000-0000-00008D000000}"/>
    <cellStyle name="W?rung [0]_laroux" xfId="143" xr:uid="{00000000-0005-0000-0000-00008E000000}"/>
    <cellStyle name="W?rung_laroux" xfId="144" xr:uid="{00000000-0005-0000-0000-00008F000000}"/>
    <cellStyle name="고정소숫점" xfId="145" xr:uid="{00000000-0005-0000-0000-000090000000}"/>
    <cellStyle name="고정출력1" xfId="146" xr:uid="{00000000-0005-0000-0000-000091000000}"/>
    <cellStyle name="고정출력2" xfId="147" xr:uid="{00000000-0005-0000-0000-000092000000}"/>
    <cellStyle name="날짜" xfId="148" xr:uid="{00000000-0005-0000-0000-000093000000}"/>
    <cellStyle name="달러" xfId="149" xr:uid="{00000000-0005-0000-0000-000094000000}"/>
    <cellStyle name="뒤에 오는 하이퍼링크" xfId="150" xr:uid="{00000000-0005-0000-0000-000095000000}"/>
    <cellStyle name="똿뗦먛귟 [0.00]_PRODUCT DETAIL Q1" xfId="151" xr:uid="{00000000-0005-0000-0000-000096000000}"/>
    <cellStyle name="똿뗦먛귟_PRODUCT DETAIL Q1" xfId="152" xr:uid="{00000000-0005-0000-0000-000097000000}"/>
    <cellStyle name="메모 2" xfId="153" xr:uid="{00000000-0005-0000-0000-000098000000}"/>
    <cellStyle name="믅됞 [0.00]_PRODUCT DETAIL Q1" xfId="154" xr:uid="{00000000-0005-0000-0000-000099000000}"/>
    <cellStyle name="믅됞_PRODUCT DETAIL Q1" xfId="155" xr:uid="{00000000-0005-0000-0000-00009A000000}"/>
    <cellStyle name="백분율 [0]" xfId="156" xr:uid="{00000000-0005-0000-0000-00009B000000}"/>
    <cellStyle name="백분율 [2]" xfId="157" xr:uid="{00000000-0005-0000-0000-00009C000000}"/>
    <cellStyle name="백분율 2" xfId="158" xr:uid="{00000000-0005-0000-0000-00009D000000}"/>
    <cellStyle name="백분율 3" xfId="159" xr:uid="{00000000-0005-0000-0000-00009E000000}"/>
    <cellStyle name="백분율 4" xfId="160" xr:uid="{00000000-0005-0000-0000-00009F000000}"/>
    <cellStyle name="병합 후 가운데 맞춤" xfId="161" xr:uid="{00000000-0005-0000-0000-0000A0000000}"/>
    <cellStyle name="병합 후 가운데 정열" xfId="162" xr:uid="{00000000-0005-0000-0000-0000A1000000}"/>
    <cellStyle name="뷭?_?긚??_1" xfId="163" xr:uid="{00000000-0005-0000-0000-0000A2000000}"/>
    <cellStyle name="숫자(R)" xfId="164" xr:uid="{00000000-0005-0000-0000-0000A3000000}"/>
    <cellStyle name="쉼표 [0]" xfId="165" builtinId="6"/>
    <cellStyle name="쉼표 [0] 2" xfId="166" xr:uid="{00000000-0005-0000-0000-0000A5000000}"/>
    <cellStyle name="쉼표 [0] 3" xfId="167" xr:uid="{00000000-0005-0000-0000-0000A6000000}"/>
    <cellStyle name="쉼표 [0] 4" xfId="168" xr:uid="{00000000-0005-0000-0000-0000A7000000}"/>
    <cellStyle name="쉼표 [0] 5" xfId="169" xr:uid="{00000000-0005-0000-0000-0000A8000000}"/>
    <cellStyle name="쉼표 [0]_축로,공동구덕트외02(중량)" xfId="170" xr:uid="{00000000-0005-0000-0000-0000A9000000}"/>
    <cellStyle name="쉼표 2" xfId="171" xr:uid="{00000000-0005-0000-0000-0000AA000000}"/>
    <cellStyle name="스타일 1" xfId="172" xr:uid="{00000000-0005-0000-0000-0000AB000000}"/>
    <cellStyle name="유영" xfId="173" xr:uid="{00000000-0005-0000-0000-0000AC000000}"/>
    <cellStyle name="자리수" xfId="174" xr:uid="{00000000-0005-0000-0000-0000AD000000}"/>
    <cellStyle name="자리수0" xfId="175" xr:uid="{00000000-0005-0000-0000-0000AE000000}"/>
    <cellStyle name="지정되지 않음" xfId="176" xr:uid="{00000000-0005-0000-0000-0000AF000000}"/>
    <cellStyle name="콤냡?&lt;_x000f_$??:_x0009_`1_1 " xfId="177" xr:uid="{00000000-0005-0000-0000-0000B0000000}"/>
    <cellStyle name="콤마 [0]" xfId="178" xr:uid="{00000000-0005-0000-0000-0000B1000000}"/>
    <cellStyle name="콤마 [0]_일위대가표" xfId="179" xr:uid="{00000000-0005-0000-0000-0000B3000000}"/>
    <cellStyle name="콤마 [2]" xfId="180" xr:uid="{00000000-0005-0000-0000-0000B4000000}"/>
    <cellStyle name="콤마_  종  합  " xfId="181" xr:uid="{00000000-0005-0000-0000-0000B5000000}"/>
    <cellStyle name="통윗 [0]_T-100 일반지 " xfId="182" xr:uid="{00000000-0005-0000-0000-0000B6000000}"/>
    <cellStyle name="통화 [0] 2" xfId="183" xr:uid="{00000000-0005-0000-0000-0000B7000000}"/>
    <cellStyle name="퍼센트" xfId="184" xr:uid="{00000000-0005-0000-0000-0000B8000000}"/>
    <cellStyle name="표준" xfId="0" builtinId="0"/>
    <cellStyle name="표준 2" xfId="185" xr:uid="{00000000-0005-0000-0000-0000BA000000}"/>
    <cellStyle name="표준 2 2" xfId="186" xr:uid="{00000000-0005-0000-0000-0000BB000000}"/>
    <cellStyle name="표준 26" xfId="187" xr:uid="{00000000-0005-0000-0000-0000BC000000}"/>
    <cellStyle name="표준 3" xfId="188" xr:uid="{00000000-0005-0000-0000-0000BD000000}"/>
    <cellStyle name="표준 4" xfId="189" xr:uid="{00000000-0005-0000-0000-0000BE000000}"/>
    <cellStyle name="표준_BF증설,여과포,활성탄공급,챔버,덕트,시운전제외(해병양식)02" xfId="190" xr:uid="{00000000-0005-0000-0000-0000BF000000}"/>
    <cellStyle name="표준_PRE DUSTER(에넥스-용인)" xfId="191" xr:uid="{00000000-0005-0000-0000-0000C0000000}"/>
    <cellStyle name="표준_공사비" xfId="192" xr:uid="{00000000-0005-0000-0000-0000C1000000}"/>
    <cellStyle name="표준_용역원가계산_공중전화정책연구" xfId="193" xr:uid="{00000000-0005-0000-0000-0000C2000000}"/>
    <cellStyle name="표준_축로,공동구덕트외02(중량)" xfId="194" xr:uid="{00000000-0005-0000-0000-0000C3000000}"/>
    <cellStyle name="표준2" xfId="195" xr:uid="{00000000-0005-0000-0000-0000C4000000}"/>
    <cellStyle name="합산" xfId="196" xr:uid="{00000000-0005-0000-0000-0000C5000000}"/>
    <cellStyle name="화폐기호" xfId="197" xr:uid="{00000000-0005-0000-0000-0000C6000000}"/>
    <cellStyle name="화폐기호0" xfId="198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M34"/>
  <sheetViews>
    <sheetView view="pageBreakPreview" zoomScaleNormal="100" zoomScaleSheetLayoutView="100" workbookViewId="0">
      <selection activeCell="F10" sqref="F10"/>
    </sheetView>
  </sheetViews>
  <sheetFormatPr defaultRowHeight="12.75"/>
  <cols>
    <col min="1" max="1" width="4" style="6" customWidth="1"/>
    <col min="2" max="2" width="5" style="6" customWidth="1"/>
    <col min="3" max="3" width="1.44140625" style="6" customWidth="1"/>
    <col min="4" max="4" width="17.77734375" style="6" customWidth="1"/>
    <col min="5" max="5" width="1.44140625" style="6" customWidth="1"/>
    <col min="6" max="6" width="16.109375" style="6" customWidth="1"/>
    <col min="7" max="7" width="8.5546875" style="6" customWidth="1"/>
    <col min="8" max="8" width="22.21875" style="7" bestFit="1" customWidth="1"/>
    <col min="9" max="9" width="6.21875" style="8" customWidth="1"/>
    <col min="10" max="10" width="2.5546875" style="9" customWidth="1"/>
    <col min="11" max="11" width="8" style="6" hidden="1" customWidth="1"/>
    <col min="12" max="14" width="8" style="6" customWidth="1"/>
    <col min="15" max="16384" width="8.88671875" style="6"/>
  </cols>
  <sheetData>
    <row r="1" spans="2:11" s="2" customFormat="1" ht="20.25" customHeight="1">
      <c r="B1" s="1" t="s">
        <v>184</v>
      </c>
      <c r="H1" s="3"/>
      <c r="I1" s="4"/>
      <c r="J1" s="5"/>
    </row>
    <row r="2" spans="2:11" ht="30.6" customHeight="1">
      <c r="B2" s="262" t="s">
        <v>12</v>
      </c>
      <c r="C2" s="262"/>
      <c r="D2" s="262"/>
      <c r="E2" s="262"/>
      <c r="F2" s="262"/>
      <c r="G2" s="262"/>
      <c r="H2" s="262"/>
      <c r="I2" s="262"/>
      <c r="J2" s="262"/>
    </row>
    <row r="3" spans="2:11" ht="20.25" customHeight="1"/>
    <row r="4" spans="2:11" s="2" customFormat="1" ht="20.25" customHeight="1">
      <c r="B4" s="10" t="s">
        <v>257</v>
      </c>
      <c r="F4" s="11"/>
      <c r="G4" s="11"/>
      <c r="H4" s="3"/>
      <c r="I4" s="4"/>
      <c r="J4" s="12" t="s">
        <v>76</v>
      </c>
    </row>
    <row r="5" spans="2:11" s="16" customFormat="1" ht="39" customHeight="1">
      <c r="B5" s="263" t="s">
        <v>13</v>
      </c>
      <c r="C5" s="263"/>
      <c r="D5" s="263"/>
      <c r="E5" s="263"/>
      <c r="F5" s="13" t="s">
        <v>14</v>
      </c>
      <c r="G5" s="14" t="s">
        <v>15</v>
      </c>
      <c r="H5" s="264" t="s">
        <v>16</v>
      </c>
      <c r="I5" s="264"/>
      <c r="J5" s="15"/>
    </row>
    <row r="6" spans="2:11" s="2" customFormat="1" ht="22.5" customHeight="1">
      <c r="B6" s="260" t="s">
        <v>17</v>
      </c>
      <c r="C6" s="17"/>
      <c r="D6" s="18" t="s">
        <v>18</v>
      </c>
      <c r="E6" s="19"/>
      <c r="F6" s="20"/>
      <c r="G6" s="21"/>
      <c r="H6" s="22" t="s">
        <v>19</v>
      </c>
      <c r="I6" s="23"/>
      <c r="J6" s="24"/>
    </row>
    <row r="7" spans="2:11" s="2" customFormat="1" ht="22.5" customHeight="1">
      <c r="B7" s="260"/>
      <c r="C7" s="25"/>
      <c r="D7" s="26" t="s">
        <v>20</v>
      </c>
      <c r="E7" s="24"/>
      <c r="F7" s="20"/>
      <c r="G7" s="21"/>
      <c r="H7" s="236" t="s">
        <v>207</v>
      </c>
      <c r="I7" s="27"/>
      <c r="J7" s="24"/>
    </row>
    <row r="8" spans="2:11" s="2" customFormat="1" ht="22.5" customHeight="1">
      <c r="B8" s="260"/>
      <c r="C8" s="25"/>
      <c r="D8" s="26" t="s">
        <v>21</v>
      </c>
      <c r="E8" s="24"/>
      <c r="F8" s="20"/>
      <c r="G8" s="20"/>
      <c r="H8" s="22"/>
      <c r="I8" s="23"/>
      <c r="J8" s="24"/>
    </row>
    <row r="9" spans="2:11" s="2" customFormat="1" ht="22.5" customHeight="1">
      <c r="B9" s="261"/>
      <c r="C9" s="25"/>
      <c r="D9" s="26" t="s">
        <v>22</v>
      </c>
      <c r="E9" s="24"/>
      <c r="F9" s="20"/>
      <c r="G9" s="21" t="e">
        <f>F9/$F$26</f>
        <v>#DIV/0!</v>
      </c>
      <c r="H9" s="22"/>
      <c r="I9" s="28"/>
      <c r="J9" s="24"/>
    </row>
    <row r="10" spans="2:11" s="2" customFormat="1" ht="22.5" customHeight="1">
      <c r="B10" s="265" t="s">
        <v>23</v>
      </c>
      <c r="C10" s="25"/>
      <c r="D10" s="26" t="s">
        <v>24</v>
      </c>
      <c r="E10" s="24"/>
      <c r="F10" s="20"/>
      <c r="G10" s="20"/>
      <c r="H10" s="22" t="s">
        <v>25</v>
      </c>
      <c r="I10" s="23"/>
      <c r="J10" s="24"/>
    </row>
    <row r="11" spans="2:11" s="2" customFormat="1" ht="22.5" customHeight="1">
      <c r="B11" s="260"/>
      <c r="C11" s="25"/>
      <c r="D11" s="26" t="s">
        <v>26</v>
      </c>
      <c r="E11" s="24"/>
      <c r="F11" s="20"/>
      <c r="G11" s="20"/>
      <c r="H11" s="22" t="s">
        <v>27</v>
      </c>
      <c r="I11" s="27">
        <v>0.125</v>
      </c>
      <c r="J11" s="24"/>
      <c r="K11" s="29"/>
    </row>
    <row r="12" spans="2:11" s="2" customFormat="1" ht="22.5" customHeight="1">
      <c r="B12" s="261"/>
      <c r="C12" s="25"/>
      <c r="D12" s="26" t="s">
        <v>22</v>
      </c>
      <c r="E12" s="24"/>
      <c r="F12" s="20"/>
      <c r="G12" s="21" t="e">
        <f>F12/$F$26</f>
        <v>#DIV/0!</v>
      </c>
      <c r="H12" s="22"/>
      <c r="I12" s="27"/>
      <c r="J12" s="24"/>
    </row>
    <row r="13" spans="2:11" s="2" customFormat="1" ht="22.5" customHeight="1">
      <c r="B13" s="260" t="s">
        <v>258</v>
      </c>
      <c r="C13" s="25"/>
      <c r="D13" s="26" t="s">
        <v>28</v>
      </c>
      <c r="E13" s="24"/>
      <c r="F13" s="20"/>
      <c r="G13" s="20"/>
      <c r="H13" s="22" t="s">
        <v>29</v>
      </c>
      <c r="I13" s="27">
        <v>3.6999999999999998E-2</v>
      </c>
      <c r="J13" s="24"/>
    </row>
    <row r="14" spans="2:11" s="2" customFormat="1" ht="22.5" customHeight="1">
      <c r="B14" s="260"/>
      <c r="C14" s="25"/>
      <c r="D14" s="26" t="s">
        <v>30</v>
      </c>
      <c r="E14" s="24"/>
      <c r="F14" s="20"/>
      <c r="G14" s="20"/>
      <c r="H14" s="22" t="s">
        <v>29</v>
      </c>
      <c r="I14" s="27">
        <v>1.01E-2</v>
      </c>
      <c r="J14" s="24"/>
    </row>
    <row r="15" spans="2:11" s="2" customFormat="1" ht="22.5" customHeight="1">
      <c r="B15" s="260"/>
      <c r="C15" s="25"/>
      <c r="D15" s="26" t="s">
        <v>31</v>
      </c>
      <c r="E15" s="24"/>
      <c r="F15" s="20"/>
      <c r="G15" s="20"/>
      <c r="H15" s="22" t="s">
        <v>32</v>
      </c>
      <c r="I15" s="27">
        <v>4.4999999999999998E-2</v>
      </c>
      <c r="J15" s="24"/>
      <c r="K15" s="2" t="s">
        <v>141</v>
      </c>
    </row>
    <row r="16" spans="2:11" s="2" customFormat="1" ht="22.5" customHeight="1">
      <c r="B16" s="260"/>
      <c r="C16" s="25"/>
      <c r="D16" s="26" t="s">
        <v>33</v>
      </c>
      <c r="E16" s="24"/>
      <c r="F16" s="20"/>
      <c r="G16" s="20"/>
      <c r="H16" s="22" t="s">
        <v>32</v>
      </c>
      <c r="I16" s="154">
        <v>3.4950000000000002E-2</v>
      </c>
      <c r="J16" s="24"/>
      <c r="K16" s="2" t="s">
        <v>141</v>
      </c>
    </row>
    <row r="17" spans="2:13" s="2" customFormat="1" ht="22.5" customHeight="1">
      <c r="B17" s="260"/>
      <c r="C17" s="25"/>
      <c r="D17" s="26" t="s">
        <v>34</v>
      </c>
      <c r="E17" s="24"/>
      <c r="F17" s="20"/>
      <c r="G17" s="20"/>
      <c r="H17" s="22" t="s">
        <v>35</v>
      </c>
      <c r="I17" s="27">
        <v>0.1227</v>
      </c>
      <c r="J17" s="24"/>
      <c r="K17" s="2" t="s">
        <v>141</v>
      </c>
    </row>
    <row r="18" spans="2:13" s="2" customFormat="1" ht="22.5" customHeight="1">
      <c r="B18" s="260"/>
      <c r="C18" s="25"/>
      <c r="D18" s="257" t="s">
        <v>254</v>
      </c>
      <c r="E18" s="24"/>
      <c r="F18" s="20"/>
      <c r="G18" s="20"/>
      <c r="H18" s="22" t="s">
        <v>255</v>
      </c>
      <c r="I18" s="259">
        <v>61000</v>
      </c>
      <c r="J18" s="258" t="s">
        <v>256</v>
      </c>
    </row>
    <row r="19" spans="2:13" s="2" customFormat="1" ht="22.5" customHeight="1">
      <c r="B19" s="260"/>
      <c r="C19" s="25"/>
      <c r="D19" s="26" t="s">
        <v>36</v>
      </c>
      <c r="E19" s="24"/>
      <c r="F19" s="20">
        <v>2050408</v>
      </c>
      <c r="G19" s="20"/>
      <c r="H19" s="30" t="s">
        <v>37</v>
      </c>
      <c r="I19" s="27">
        <v>2.93E-2</v>
      </c>
      <c r="J19" s="24"/>
    </row>
    <row r="20" spans="2:13" s="2" customFormat="1" ht="22.5" customHeight="1">
      <c r="B20" s="260"/>
      <c r="C20" s="25"/>
      <c r="D20" s="26" t="s">
        <v>38</v>
      </c>
      <c r="E20" s="24"/>
      <c r="F20" s="20">
        <v>0</v>
      </c>
      <c r="G20" s="20"/>
      <c r="H20" s="22" t="s">
        <v>32</v>
      </c>
      <c r="I20" s="27">
        <v>2.3E-2</v>
      </c>
      <c r="J20" s="24"/>
      <c r="K20" s="2" t="s">
        <v>142</v>
      </c>
    </row>
    <row r="21" spans="2:13" s="2" customFormat="1" ht="22.5" customHeight="1">
      <c r="B21" s="260"/>
      <c r="C21" s="25"/>
      <c r="D21" s="26" t="s">
        <v>39</v>
      </c>
      <c r="E21" s="24"/>
      <c r="F21" s="20">
        <f>ROUND((F9+F12)*I21,0)</f>
        <v>0</v>
      </c>
      <c r="G21" s="20"/>
      <c r="H21" s="22" t="s">
        <v>40</v>
      </c>
      <c r="I21" s="27">
        <v>7.8E-2</v>
      </c>
      <c r="J21" s="24"/>
    </row>
    <row r="22" spans="2:13" s="2" customFormat="1" ht="22.5" customHeight="1">
      <c r="B22" s="261"/>
      <c r="C22" s="25"/>
      <c r="D22" s="26" t="s">
        <v>41</v>
      </c>
      <c r="E22" s="24"/>
      <c r="F22" s="20"/>
      <c r="G22" s="21" t="e">
        <f>F22/$F$26</f>
        <v>#DIV/0!</v>
      </c>
      <c r="H22" s="22"/>
      <c r="I22" s="27"/>
      <c r="J22" s="24"/>
    </row>
    <row r="23" spans="2:13" s="2" customFormat="1" ht="22.5" customHeight="1">
      <c r="B23" s="31" t="s">
        <v>42</v>
      </c>
      <c r="C23" s="32"/>
      <c r="D23" s="26" t="s">
        <v>43</v>
      </c>
      <c r="E23" s="24"/>
      <c r="F23" s="33"/>
      <c r="G23" s="21" t="e">
        <f>F23/$F$26</f>
        <v>#DIV/0!</v>
      </c>
      <c r="H23" s="22" t="s">
        <v>44</v>
      </c>
      <c r="I23" s="27"/>
      <c r="J23" s="24"/>
    </row>
    <row r="24" spans="2:13" s="2" customFormat="1" ht="22.5" customHeight="1">
      <c r="B24" s="31" t="s">
        <v>45</v>
      </c>
      <c r="C24" s="32"/>
      <c r="D24" s="26" t="s">
        <v>46</v>
      </c>
      <c r="E24" s="24"/>
      <c r="F24" s="20"/>
      <c r="G24" s="21" t="e">
        <f>F24/$F$26</f>
        <v>#DIV/0!</v>
      </c>
      <c r="H24" s="22" t="s">
        <v>47</v>
      </c>
      <c r="I24" s="27">
        <v>0.06</v>
      </c>
      <c r="J24" s="24"/>
    </row>
    <row r="25" spans="2:13" s="2" customFormat="1" ht="22.5" customHeight="1">
      <c r="B25" s="31" t="s">
        <v>48</v>
      </c>
      <c r="C25" s="32"/>
      <c r="D25" s="26" t="s">
        <v>49</v>
      </c>
      <c r="E25" s="24"/>
      <c r="F25" s="20"/>
      <c r="G25" s="21" t="e">
        <f>F25/$F$26</f>
        <v>#DIV/0!</v>
      </c>
      <c r="H25" s="30" t="s">
        <v>199</v>
      </c>
      <c r="I25" s="34">
        <v>0.15</v>
      </c>
      <c r="J25" s="24"/>
      <c r="M25" s="35" t="s">
        <v>77</v>
      </c>
    </row>
    <row r="26" spans="2:13" s="2" customFormat="1" ht="22.5" customHeight="1">
      <c r="B26" s="31" t="s">
        <v>50</v>
      </c>
      <c r="C26" s="32"/>
      <c r="D26" s="26" t="s">
        <v>51</v>
      </c>
      <c r="E26" s="24"/>
      <c r="F26" s="20"/>
      <c r="G26" s="21" t="e">
        <f>F26/$F$26</f>
        <v>#DIV/0!</v>
      </c>
      <c r="H26" s="22" t="s">
        <v>52</v>
      </c>
      <c r="I26" s="27"/>
      <c r="J26" s="24"/>
    </row>
    <row r="27" spans="2:13" s="2" customFormat="1" ht="22.5" customHeight="1">
      <c r="B27" s="31" t="s">
        <v>53</v>
      </c>
      <c r="C27" s="32"/>
      <c r="D27" s="26" t="s">
        <v>54</v>
      </c>
      <c r="E27" s="24"/>
      <c r="F27" s="20"/>
      <c r="G27" s="20"/>
      <c r="H27" s="36" t="s">
        <v>55</v>
      </c>
      <c r="I27" s="34">
        <v>0.1</v>
      </c>
      <c r="J27" s="24"/>
    </row>
    <row r="28" spans="2:13" s="2" customFormat="1" ht="22.5" customHeight="1">
      <c r="B28" s="31" t="s">
        <v>56</v>
      </c>
      <c r="C28" s="32"/>
      <c r="D28" s="26" t="s">
        <v>57</v>
      </c>
      <c r="E28" s="24"/>
      <c r="F28" s="37"/>
      <c r="G28" s="20"/>
      <c r="H28" s="22" t="s">
        <v>78</v>
      </c>
      <c r="I28" s="23"/>
      <c r="J28" s="24"/>
    </row>
    <row r="29" spans="2:13" ht="24" hidden="1" customHeight="1">
      <c r="F29" s="38"/>
    </row>
    <row r="30" spans="2:13" hidden="1">
      <c r="F30" s="39"/>
    </row>
    <row r="31" spans="2:13">
      <c r="B31" s="40"/>
    </row>
    <row r="33" spans="6:6">
      <c r="F33" s="39"/>
    </row>
    <row r="34" spans="6:6">
      <c r="F34" s="41"/>
    </row>
  </sheetData>
  <mergeCells count="6">
    <mergeCell ref="B13:B22"/>
    <mergeCell ref="B2:J2"/>
    <mergeCell ref="B5:E5"/>
    <mergeCell ref="H5:I5"/>
    <mergeCell ref="B6:B9"/>
    <mergeCell ref="B10:B12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B1:O14"/>
  <sheetViews>
    <sheetView showZeros="0" view="pageBreakPreview" zoomScale="90" zoomScaleNormal="85" zoomScaleSheetLayoutView="90" workbookViewId="0">
      <pane xSplit="7" ySplit="6" topLeftCell="H7" activePane="bottomRight" state="frozen"/>
      <selection activeCell="D36" sqref="D36"/>
      <selection pane="topRight" activeCell="D36" sqref="D36"/>
      <selection pane="bottomLeft" activeCell="D36" sqref="D36"/>
      <selection pane="bottomRight" activeCell="D13" sqref="D13"/>
    </sheetView>
  </sheetViews>
  <sheetFormatPr defaultColWidth="8" defaultRowHeight="21.95" customHeight="1"/>
  <cols>
    <col min="1" max="1" width="8" style="45"/>
    <col min="2" max="3" width="5.77734375" style="45" customWidth="1"/>
    <col min="4" max="4" width="23.6640625" style="46" bestFit="1" customWidth="1"/>
    <col min="5" max="5" width="28.21875" style="47" bestFit="1" customWidth="1"/>
    <col min="6" max="6" width="5.77734375" style="47" customWidth="1"/>
    <col min="7" max="7" width="6.6640625" style="229" bestFit="1" customWidth="1"/>
    <col min="8" max="8" width="10.44140625" style="49" bestFit="1" customWidth="1"/>
    <col min="9" max="9" width="10.6640625" style="45" bestFit="1" customWidth="1"/>
    <col min="10" max="10" width="10.44140625" style="45" bestFit="1" customWidth="1"/>
    <col min="11" max="11" width="13" style="45" bestFit="1" customWidth="1"/>
    <col min="12" max="12" width="7.6640625" style="45" bestFit="1" customWidth="1"/>
    <col min="13" max="13" width="10.6640625" style="45" bestFit="1" customWidth="1"/>
    <col min="14" max="14" width="13" style="45" bestFit="1" customWidth="1"/>
    <col min="15" max="15" width="12.109375" style="46" customWidth="1"/>
    <col min="16" max="18" width="8" style="45" customWidth="1"/>
    <col min="19" max="16384" width="8" style="45"/>
  </cols>
  <sheetData>
    <row r="1" spans="2:15" ht="20.100000000000001" customHeight="1">
      <c r="B1" s="1" t="s">
        <v>185</v>
      </c>
    </row>
    <row r="2" spans="2:15" ht="30" customHeight="1">
      <c r="B2" s="268" t="s">
        <v>71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2:15" ht="20.100000000000001" customHeight="1"/>
    <row r="4" spans="2:15" ht="20.100000000000001" customHeight="1">
      <c r="D4" s="50"/>
      <c r="E4" s="50"/>
      <c r="F4" s="50"/>
      <c r="G4" s="230"/>
      <c r="H4" s="50"/>
      <c r="I4" s="50"/>
      <c r="J4" s="50"/>
      <c r="K4" s="50"/>
      <c r="L4" s="50"/>
      <c r="M4" s="50"/>
      <c r="N4" s="50"/>
      <c r="O4" s="51" t="s">
        <v>183</v>
      </c>
    </row>
    <row r="5" spans="2:15" s="52" customFormat="1" ht="20.100000000000001" customHeight="1">
      <c r="B5" s="269" t="s">
        <v>68</v>
      </c>
      <c r="C5" s="270"/>
      <c r="D5" s="273" t="s">
        <v>10</v>
      </c>
      <c r="E5" s="266" t="s">
        <v>0</v>
      </c>
      <c r="F5" s="266" t="s">
        <v>2</v>
      </c>
      <c r="G5" s="275" t="s">
        <v>1</v>
      </c>
      <c r="H5" s="276" t="s">
        <v>3</v>
      </c>
      <c r="I5" s="276"/>
      <c r="J5" s="266" t="s">
        <v>4</v>
      </c>
      <c r="K5" s="266"/>
      <c r="L5" s="266" t="s">
        <v>5</v>
      </c>
      <c r="M5" s="266"/>
      <c r="N5" s="266" t="s">
        <v>69</v>
      </c>
      <c r="O5" s="267" t="s">
        <v>70</v>
      </c>
    </row>
    <row r="6" spans="2:15" s="52" customFormat="1" ht="20.100000000000001" customHeight="1">
      <c r="B6" s="271"/>
      <c r="C6" s="272"/>
      <c r="D6" s="274"/>
      <c r="E6" s="266"/>
      <c r="F6" s="266"/>
      <c r="G6" s="275"/>
      <c r="H6" s="197" t="s">
        <v>7</v>
      </c>
      <c r="I6" s="195" t="s">
        <v>8</v>
      </c>
      <c r="J6" s="195" t="s">
        <v>7</v>
      </c>
      <c r="K6" s="195" t="s">
        <v>8</v>
      </c>
      <c r="L6" s="195" t="s">
        <v>7</v>
      </c>
      <c r="M6" s="195" t="s">
        <v>8</v>
      </c>
      <c r="N6" s="266"/>
      <c r="O6" s="267"/>
    </row>
    <row r="7" spans="2:15" s="62" customFormat="1" ht="30" customHeight="1">
      <c r="B7" s="195">
        <v>1</v>
      </c>
      <c r="C7" s="195"/>
      <c r="D7" s="55" t="str">
        <f>물량!D7</f>
        <v>SCR 촉매</v>
      </c>
      <c r="E7" s="56"/>
      <c r="F7" s="57"/>
      <c r="G7" s="231"/>
      <c r="H7" s="59"/>
      <c r="I7" s="60"/>
      <c r="J7" s="60"/>
      <c r="K7" s="60"/>
      <c r="L7" s="60"/>
      <c r="M7" s="60"/>
      <c r="N7" s="60"/>
      <c r="O7" s="196"/>
    </row>
    <row r="8" spans="2:15" s="47" customFormat="1" ht="30" customHeight="1">
      <c r="B8" s="63"/>
      <c r="C8" s="63"/>
      <c r="D8" s="241" t="str">
        <f>물량!D12</f>
        <v>SCR 촉매(신규)</v>
      </c>
      <c r="E8" s="42" t="s">
        <v>259</v>
      </c>
      <c r="F8" s="65" t="s">
        <v>260</v>
      </c>
      <c r="G8" s="234">
        <v>9</v>
      </c>
      <c r="H8" s="66"/>
      <c r="I8" s="67"/>
      <c r="J8" s="67"/>
      <c r="K8" s="67"/>
      <c r="L8" s="67"/>
      <c r="M8" s="67"/>
      <c r="N8" s="72"/>
      <c r="O8" s="68"/>
    </row>
    <row r="9" spans="2:15" s="47" customFormat="1" ht="30" customHeight="1">
      <c r="B9" s="63"/>
      <c r="C9" s="63"/>
      <c r="D9" s="64"/>
      <c r="E9" s="42"/>
      <c r="F9" s="65"/>
      <c r="G9" s="232"/>
      <c r="H9" s="66"/>
      <c r="I9" s="67"/>
      <c r="J9" s="67"/>
      <c r="K9" s="67"/>
      <c r="L9" s="67"/>
      <c r="M9" s="67"/>
      <c r="N9" s="67"/>
      <c r="O9" s="68"/>
    </row>
    <row r="10" spans="2:15" s="47" customFormat="1" ht="30" customHeight="1">
      <c r="B10" s="155">
        <v>2</v>
      </c>
      <c r="C10" s="155"/>
      <c r="D10" s="255" t="s">
        <v>252</v>
      </c>
      <c r="E10" s="42" t="s">
        <v>259</v>
      </c>
      <c r="F10" s="256" t="s">
        <v>253</v>
      </c>
      <c r="G10" s="232">
        <v>12.167999999999999</v>
      </c>
      <c r="H10" s="66"/>
      <c r="I10" s="67"/>
      <c r="J10" s="67"/>
      <c r="K10" s="67"/>
      <c r="L10" s="67"/>
      <c r="M10" s="67"/>
      <c r="N10" s="60"/>
      <c r="O10" s="68"/>
    </row>
    <row r="11" spans="2:15" s="47" customFormat="1" ht="30" customHeight="1">
      <c r="B11" s="243"/>
      <c r="C11" s="243"/>
      <c r="D11" s="75"/>
      <c r="E11" s="42"/>
      <c r="F11" s="65"/>
      <c r="G11" s="232"/>
      <c r="H11" s="66"/>
      <c r="I11" s="67"/>
      <c r="J11" s="67"/>
      <c r="K11" s="67"/>
      <c r="L11" s="67"/>
      <c r="M11" s="67"/>
      <c r="N11" s="60"/>
      <c r="O11" s="68"/>
    </row>
    <row r="12" spans="2:15" s="47" customFormat="1" ht="30" customHeight="1">
      <c r="B12" s="243"/>
      <c r="C12" s="243"/>
      <c r="D12" s="159" t="s">
        <v>69</v>
      </c>
      <c r="E12" s="160"/>
      <c r="F12" s="161"/>
      <c r="G12" s="233"/>
      <c r="H12" s="162"/>
      <c r="I12" s="163"/>
      <c r="J12" s="163"/>
      <c r="K12" s="163"/>
      <c r="L12" s="163"/>
      <c r="M12" s="163"/>
      <c r="N12" s="163"/>
      <c r="O12" s="68"/>
    </row>
    <row r="13" spans="2:15" s="47" customFormat="1" ht="30" customHeight="1">
      <c r="B13" s="243"/>
      <c r="C13" s="243"/>
      <c r="D13" s="75"/>
      <c r="E13" s="42"/>
      <c r="F13" s="65"/>
      <c r="G13" s="232"/>
      <c r="H13" s="66"/>
      <c r="I13" s="67"/>
      <c r="J13" s="67"/>
      <c r="K13" s="67"/>
      <c r="L13" s="67"/>
      <c r="M13" s="67"/>
      <c r="N13" s="60"/>
      <c r="O13" s="68"/>
    </row>
    <row r="14" spans="2:15" s="47" customFormat="1" ht="30" customHeight="1">
      <c r="B14" s="63"/>
      <c r="C14" s="63"/>
      <c r="D14" s="228"/>
      <c r="E14" s="64"/>
      <c r="F14" s="74"/>
      <c r="G14" s="232"/>
      <c r="H14" s="66"/>
      <c r="I14" s="67"/>
      <c r="J14" s="67"/>
      <c r="K14" s="67"/>
      <c r="L14" s="67"/>
      <c r="M14" s="67"/>
      <c r="N14" s="67"/>
      <c r="O14" s="68"/>
    </row>
  </sheetData>
  <mergeCells count="11">
    <mergeCell ref="L5:M5"/>
    <mergeCell ref="N5:N6"/>
    <mergeCell ref="O5:O6"/>
    <mergeCell ref="B2:O2"/>
    <mergeCell ref="B5:C6"/>
    <mergeCell ref="D5:D6"/>
    <mergeCell ref="E5:E6"/>
    <mergeCell ref="F5:F6"/>
    <mergeCell ref="G5:G6"/>
    <mergeCell ref="H5:I5"/>
    <mergeCell ref="J5:K5"/>
  </mergeCells>
  <phoneticPr fontId="18" type="noConversion"/>
  <printOptions horizontalCentered="1" gridLinesSet="0"/>
  <pageMargins left="0.7" right="0.7" top="0.75" bottom="0.75" header="0.3" footer="0.3"/>
  <pageSetup paperSize="9" scale="68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M21"/>
  <sheetViews>
    <sheetView tabSelected="1" view="pageBreakPreview" topLeftCell="B1" zoomScaleNormal="100" zoomScaleSheetLayoutView="100" workbookViewId="0">
      <selection activeCell="D10" sqref="D10"/>
    </sheetView>
  </sheetViews>
  <sheetFormatPr defaultRowHeight="21.95" customHeight="1"/>
  <cols>
    <col min="1" max="1" width="8.88671875" style="165"/>
    <col min="2" max="3" width="5.5546875" style="164" customWidth="1"/>
    <col min="4" max="4" width="27.33203125" style="165" customWidth="1"/>
    <col min="5" max="5" width="29.77734375" style="165" bestFit="1" customWidth="1"/>
    <col min="6" max="6" width="5.88671875" style="165" customWidth="1"/>
    <col min="7" max="7" width="43.5546875" style="166" customWidth="1"/>
    <col min="8" max="8" width="10.6640625" style="167" bestFit="1" customWidth="1"/>
    <col min="9" max="9" width="12.77734375" style="167" bestFit="1" customWidth="1"/>
    <col min="10" max="10" width="20.109375" style="165" customWidth="1"/>
    <col min="11" max="11" width="13.6640625" style="165" hidden="1" customWidth="1"/>
    <col min="12" max="12" width="8.88671875" style="165" hidden="1" customWidth="1"/>
    <col min="13" max="13" width="13.77734375" style="165" hidden="1" customWidth="1"/>
    <col min="14" max="16384" width="8.88671875" style="165"/>
  </cols>
  <sheetData>
    <row r="1" spans="2:13" ht="20.25" customHeight="1">
      <c r="B1" s="1" t="s">
        <v>186</v>
      </c>
    </row>
    <row r="2" spans="2:13" ht="26.25">
      <c r="B2" s="281" t="s">
        <v>66</v>
      </c>
      <c r="C2" s="281"/>
      <c r="D2" s="281"/>
      <c r="E2" s="281"/>
      <c r="F2" s="281"/>
      <c r="G2" s="281"/>
      <c r="H2" s="281"/>
      <c r="I2" s="281"/>
      <c r="J2" s="281"/>
      <c r="K2" s="168"/>
    </row>
    <row r="3" spans="2:13" ht="20.25" customHeight="1">
      <c r="B3" s="169"/>
      <c r="C3" s="169"/>
      <c r="D3" s="169"/>
      <c r="E3" s="168"/>
      <c r="F3" s="168"/>
      <c r="G3" s="170"/>
      <c r="H3" s="171"/>
      <c r="I3" s="171"/>
      <c r="J3" s="168"/>
      <c r="K3" s="168"/>
    </row>
    <row r="4" spans="2:13" ht="20.25" customHeight="1">
      <c r="B4" s="172"/>
      <c r="C4" s="172"/>
      <c r="D4" s="173"/>
      <c r="E4" s="173"/>
      <c r="F4" s="173"/>
      <c r="G4" s="174"/>
      <c r="H4" s="175"/>
      <c r="I4" s="175"/>
      <c r="J4" s="173"/>
      <c r="K4" s="173"/>
    </row>
    <row r="5" spans="2:13" ht="24.95" customHeight="1">
      <c r="B5" s="277" t="s">
        <v>61</v>
      </c>
      <c r="C5" s="278"/>
      <c r="D5" s="284" t="s">
        <v>62</v>
      </c>
      <c r="E5" s="284" t="s">
        <v>63</v>
      </c>
      <c r="F5" s="284" t="s">
        <v>64</v>
      </c>
      <c r="G5" s="284" t="s">
        <v>65</v>
      </c>
      <c r="H5" s="285" t="s">
        <v>59</v>
      </c>
      <c r="I5" s="286"/>
      <c r="J5" s="282" t="s">
        <v>67</v>
      </c>
      <c r="K5" s="284" t="s">
        <v>60</v>
      </c>
    </row>
    <row r="6" spans="2:13" ht="24.95" customHeight="1">
      <c r="B6" s="279"/>
      <c r="C6" s="280"/>
      <c r="D6" s="284"/>
      <c r="E6" s="284"/>
      <c r="F6" s="284"/>
      <c r="G6" s="284"/>
      <c r="H6" s="287"/>
      <c r="I6" s="288"/>
      <c r="J6" s="283"/>
      <c r="K6" s="284"/>
    </row>
    <row r="7" spans="2:13" ht="30" customHeight="1">
      <c r="B7" s="138">
        <v>1</v>
      </c>
      <c r="C7" s="138"/>
      <c r="D7" s="55" t="s">
        <v>208</v>
      </c>
      <c r="E7" s="158"/>
      <c r="F7" s="158"/>
      <c r="G7" s="158"/>
      <c r="H7" s="136"/>
      <c r="I7" s="199"/>
      <c r="J7" s="157"/>
      <c r="K7" s="158"/>
    </row>
    <row r="8" spans="2:13" ht="30" customHeight="1">
      <c r="B8" s="176"/>
      <c r="C8" s="177">
        <v>1</v>
      </c>
      <c r="D8" s="200" t="s">
        <v>217</v>
      </c>
      <c r="E8" s="247" t="s">
        <v>209</v>
      </c>
      <c r="F8" s="201" t="s">
        <v>200</v>
      </c>
      <c r="G8" s="201" t="s">
        <v>214</v>
      </c>
      <c r="H8" s="249">
        <v>9</v>
      </c>
      <c r="I8" s="240">
        <v>9</v>
      </c>
      <c r="J8" s="242"/>
      <c r="K8" s="158"/>
      <c r="M8" s="165">
        <f>(600+3240-110+150+1265+150+2505+200+310)*1.08</f>
        <v>8974.8000000000011</v>
      </c>
    </row>
    <row r="9" spans="2:13" ht="30" customHeight="1">
      <c r="B9" s="176"/>
      <c r="C9" s="177">
        <v>2</v>
      </c>
      <c r="D9" s="200" t="s">
        <v>218</v>
      </c>
      <c r="E9" s="247" t="s">
        <v>209</v>
      </c>
      <c r="F9" s="201" t="s">
        <v>200</v>
      </c>
      <c r="G9" s="201" t="s">
        <v>219</v>
      </c>
      <c r="H9" s="249">
        <v>27</v>
      </c>
      <c r="I9" s="240">
        <v>27</v>
      </c>
      <c r="J9" s="242"/>
      <c r="K9" s="245"/>
    </row>
    <row r="10" spans="2:13" ht="30" customHeight="1">
      <c r="B10" s="176"/>
      <c r="C10" s="177"/>
      <c r="D10" s="200"/>
      <c r="E10" s="198"/>
      <c r="F10" s="201"/>
      <c r="G10" s="201"/>
      <c r="H10" s="249"/>
      <c r="I10" s="240"/>
      <c r="J10" s="139"/>
      <c r="K10" s="239"/>
    </row>
    <row r="11" spans="2:13" ht="30" customHeight="1">
      <c r="B11" s="204">
        <v>2</v>
      </c>
      <c r="C11" s="138"/>
      <c r="D11" s="248" t="s">
        <v>212</v>
      </c>
      <c r="E11" s="178"/>
      <c r="F11" s="179"/>
      <c r="G11" s="140"/>
      <c r="H11" s="250"/>
      <c r="I11" s="251"/>
      <c r="J11" s="141"/>
      <c r="K11" s="180"/>
    </row>
    <row r="12" spans="2:13" ht="30" customHeight="1">
      <c r="B12" s="176"/>
      <c r="C12" s="177">
        <v>1</v>
      </c>
      <c r="D12" s="200" t="s">
        <v>217</v>
      </c>
      <c r="E12" s="247" t="s">
        <v>209</v>
      </c>
      <c r="F12" s="202" t="s">
        <v>84</v>
      </c>
      <c r="G12" s="203" t="s">
        <v>215</v>
      </c>
      <c r="H12" s="240">
        <v>3042</v>
      </c>
      <c r="I12" s="240">
        <v>3042</v>
      </c>
      <c r="J12" s="244"/>
      <c r="K12" s="180"/>
      <c r="M12" s="165">
        <f>(1291.7+1169.3)*5.47</f>
        <v>13461.67</v>
      </c>
    </row>
    <row r="13" spans="2:13" ht="30" customHeight="1">
      <c r="B13" s="176"/>
      <c r="C13" s="177">
        <v>2</v>
      </c>
      <c r="D13" s="200" t="s">
        <v>218</v>
      </c>
      <c r="E13" s="247" t="s">
        <v>209</v>
      </c>
      <c r="F13" s="202" t="s">
        <v>220</v>
      </c>
      <c r="G13" s="203" t="s">
        <v>221</v>
      </c>
      <c r="H13" s="240">
        <v>9126</v>
      </c>
      <c r="I13" s="240">
        <v>9126</v>
      </c>
      <c r="J13" s="244"/>
      <c r="K13" s="180"/>
    </row>
    <row r="14" spans="2:13" ht="30" customHeight="1">
      <c r="B14" s="176"/>
      <c r="C14" s="177"/>
      <c r="D14" s="200"/>
      <c r="E14" s="247"/>
      <c r="F14" s="202"/>
      <c r="G14" s="203"/>
      <c r="H14" s="240"/>
      <c r="I14" s="240"/>
      <c r="J14" s="244"/>
      <c r="K14" s="180"/>
    </row>
    <row r="15" spans="2:13" ht="30" customHeight="1">
      <c r="B15" s="204">
        <v>4</v>
      </c>
      <c r="C15" s="138"/>
      <c r="D15" s="248" t="s">
        <v>225</v>
      </c>
      <c r="E15" s="178"/>
      <c r="F15" s="202"/>
      <c r="G15" s="203"/>
      <c r="H15" s="240"/>
      <c r="I15" s="240"/>
      <c r="J15" s="244"/>
      <c r="K15" s="180"/>
    </row>
    <row r="16" spans="2:13" ht="30" customHeight="1">
      <c r="B16" s="176"/>
      <c r="C16" s="177">
        <v>1</v>
      </c>
      <c r="D16" s="200" t="s">
        <v>217</v>
      </c>
      <c r="E16" s="247" t="s">
        <v>209</v>
      </c>
      <c r="F16" s="202" t="s">
        <v>226</v>
      </c>
      <c r="G16" s="203" t="s">
        <v>227</v>
      </c>
      <c r="H16" s="235">
        <v>6.8635124999999988</v>
      </c>
      <c r="I16" s="235">
        <v>6.86</v>
      </c>
      <c r="J16" s="244"/>
      <c r="K16" s="180"/>
    </row>
    <row r="17" spans="2:11" ht="30" customHeight="1">
      <c r="B17" s="176"/>
      <c r="C17" s="177"/>
      <c r="D17" s="200"/>
      <c r="E17" s="247"/>
      <c r="F17" s="202"/>
      <c r="G17" s="203"/>
      <c r="H17" s="240"/>
      <c r="I17" s="240"/>
      <c r="J17" s="244"/>
      <c r="K17" s="180"/>
    </row>
    <row r="18" spans="2:11" ht="30" customHeight="1">
      <c r="B18" s="204">
        <v>4</v>
      </c>
      <c r="C18" s="138"/>
      <c r="D18" s="248" t="s">
        <v>213</v>
      </c>
      <c r="E18" s="178"/>
      <c r="F18" s="202"/>
      <c r="G18" s="203"/>
      <c r="H18" s="235"/>
      <c r="I18" s="235"/>
      <c r="J18" s="141"/>
      <c r="K18" s="180"/>
    </row>
    <row r="19" spans="2:11" ht="30" customHeight="1">
      <c r="B19" s="204"/>
      <c r="C19" s="177">
        <v>1</v>
      </c>
      <c r="D19" s="200" t="s">
        <v>217</v>
      </c>
      <c r="E19" s="247" t="s">
        <v>209</v>
      </c>
      <c r="F19" s="202" t="s">
        <v>197</v>
      </c>
      <c r="G19" s="203" t="s">
        <v>216</v>
      </c>
      <c r="H19" s="235">
        <v>37.021500000000003</v>
      </c>
      <c r="I19" s="235">
        <v>37.020000000000003</v>
      </c>
      <c r="J19" s="141"/>
      <c r="K19" s="180"/>
    </row>
    <row r="20" spans="2:11" ht="30" customHeight="1">
      <c r="B20" s="176"/>
      <c r="C20" s="177">
        <v>1</v>
      </c>
      <c r="D20" s="200" t="s">
        <v>218</v>
      </c>
      <c r="E20" s="247" t="s">
        <v>209</v>
      </c>
      <c r="F20" s="202" t="s">
        <v>197</v>
      </c>
      <c r="G20" s="203" t="s">
        <v>239</v>
      </c>
      <c r="H20" s="235">
        <v>111.06450000000001</v>
      </c>
      <c r="I20" s="235">
        <v>111.06</v>
      </c>
      <c r="J20" s="141"/>
      <c r="K20" s="180"/>
    </row>
    <row r="21" spans="2:11" ht="30" customHeight="1">
      <c r="B21" s="176"/>
      <c r="C21" s="176"/>
      <c r="J21" s="141"/>
      <c r="K21" s="180"/>
    </row>
  </sheetData>
  <sheetProtection selectLockedCells="1" selectUnlockedCells="1"/>
  <mergeCells count="9">
    <mergeCell ref="B5:C6"/>
    <mergeCell ref="B2:J2"/>
    <mergeCell ref="J5:J6"/>
    <mergeCell ref="K5:K6"/>
    <mergeCell ref="D5:D6"/>
    <mergeCell ref="E5:E6"/>
    <mergeCell ref="F5:F6"/>
    <mergeCell ref="G5:G6"/>
    <mergeCell ref="H5:I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10" orientation="landscape" r:id="rId1"/>
  <headerFooter alignWithMargins="0"/>
  <rowBreaks count="1" manualBreakCount="1">
    <brk id="20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B1:Y114"/>
  <sheetViews>
    <sheetView showZeros="0" view="pageBreakPreview" zoomScaleNormal="80" zoomScaleSheetLayoutView="100" workbookViewId="0">
      <pane xSplit="5" ySplit="6" topLeftCell="F7" activePane="bottomRight" state="frozen"/>
      <selection activeCell="E9" sqref="A1:XFD1048576"/>
      <selection pane="topRight" activeCell="E9" sqref="A1:XFD1048576"/>
      <selection pane="bottomLeft" activeCell="E9" sqref="A1:XFD1048576"/>
      <selection pane="bottomRight" activeCell="C10" sqref="C10"/>
    </sheetView>
  </sheetViews>
  <sheetFormatPr defaultColWidth="8" defaultRowHeight="17.25" customHeight="1"/>
  <cols>
    <col min="1" max="1" width="8" style="145"/>
    <col min="2" max="2" width="32.21875" style="193" bestFit="1" customWidth="1"/>
    <col min="3" max="3" width="21" style="182" customWidth="1"/>
    <col min="4" max="4" width="7.5546875" style="183" bestFit="1" customWidth="1"/>
    <col min="5" max="5" width="9.21875" style="208" customWidth="1"/>
    <col min="6" max="6" width="8.77734375" style="184" customWidth="1"/>
    <col min="7" max="7" width="8.77734375" style="185" customWidth="1"/>
    <col min="8" max="9" width="12.77734375" style="185" customWidth="1"/>
    <col min="10" max="11" width="8.77734375" style="185" customWidth="1"/>
    <col min="12" max="12" width="13.21875" style="185" bestFit="1" customWidth="1"/>
    <col min="13" max="13" width="38" style="186" customWidth="1"/>
    <col min="14" max="14" width="11.21875" style="220" customWidth="1"/>
    <col min="15" max="15" width="11.21875" style="145" customWidth="1"/>
    <col min="16" max="21" width="5.77734375" style="145" customWidth="1"/>
    <col min="22" max="16384" width="8" style="145"/>
  </cols>
  <sheetData>
    <row r="1" spans="2:21" ht="20.25" customHeight="1">
      <c r="B1" s="1" t="s">
        <v>187</v>
      </c>
    </row>
    <row r="2" spans="2:21" ht="26.25">
      <c r="B2" s="268" t="s">
        <v>73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O2" s="214" t="s">
        <v>196</v>
      </c>
      <c r="P2" s="218" t="s">
        <v>191</v>
      </c>
      <c r="Q2" s="218" t="s">
        <v>203</v>
      </c>
      <c r="R2" s="218" t="s">
        <v>204</v>
      </c>
      <c r="S2" s="218" t="s">
        <v>192</v>
      </c>
      <c r="T2" s="218"/>
      <c r="U2" s="218"/>
    </row>
    <row r="3" spans="2:21" ht="20.25" customHeight="1">
      <c r="B3" s="93"/>
      <c r="C3" s="93"/>
      <c r="D3" s="93"/>
      <c r="E3" s="209"/>
      <c r="F3" s="93"/>
      <c r="G3" s="93"/>
      <c r="H3" s="93"/>
      <c r="I3" s="93"/>
      <c r="J3" s="93"/>
      <c r="K3" s="93"/>
      <c r="L3" s="93"/>
      <c r="M3" s="94" t="s">
        <v>72</v>
      </c>
      <c r="O3" s="214" t="s">
        <v>188</v>
      </c>
      <c r="P3" s="217" t="s">
        <v>191</v>
      </c>
    </row>
    <row r="4" spans="2:21" ht="20.25" customHeight="1">
      <c r="B4" s="266" t="s">
        <v>10</v>
      </c>
      <c r="C4" s="267" t="s">
        <v>0</v>
      </c>
      <c r="D4" s="266" t="s">
        <v>2</v>
      </c>
      <c r="E4" s="293" t="s">
        <v>1</v>
      </c>
      <c r="F4" s="95" t="s">
        <v>3</v>
      </c>
      <c r="G4" s="96"/>
      <c r="H4" s="96" t="s">
        <v>4</v>
      </c>
      <c r="I4" s="96"/>
      <c r="J4" s="96" t="s">
        <v>5</v>
      </c>
      <c r="K4" s="96"/>
      <c r="L4" s="266" t="s">
        <v>11</v>
      </c>
      <c r="M4" s="294" t="s">
        <v>6</v>
      </c>
      <c r="O4" s="215" t="s">
        <v>190</v>
      </c>
      <c r="P4" s="107"/>
      <c r="Q4" s="216" t="s">
        <v>202</v>
      </c>
      <c r="R4" s="219"/>
      <c r="S4" s="107"/>
      <c r="T4" s="107"/>
      <c r="U4" s="107"/>
    </row>
    <row r="5" spans="2:21" s="97" customFormat="1" ht="24.95" customHeight="1">
      <c r="B5" s="266"/>
      <c r="C5" s="267"/>
      <c r="D5" s="266"/>
      <c r="E5" s="293"/>
      <c r="F5" s="156" t="s">
        <v>7</v>
      </c>
      <c r="G5" s="155" t="s">
        <v>8</v>
      </c>
      <c r="H5" s="155" t="s">
        <v>7</v>
      </c>
      <c r="I5" s="155" t="s">
        <v>8</v>
      </c>
      <c r="J5" s="155" t="s">
        <v>7</v>
      </c>
      <c r="K5" s="155" t="s">
        <v>8</v>
      </c>
      <c r="L5" s="266"/>
      <c r="M5" s="294"/>
      <c r="N5" s="222"/>
      <c r="O5" s="216" t="s">
        <v>193</v>
      </c>
      <c r="P5" s="107"/>
      <c r="Q5" s="107"/>
      <c r="R5" s="216" t="s">
        <v>205</v>
      </c>
      <c r="S5" s="219"/>
      <c r="T5" s="107"/>
      <c r="U5" s="107"/>
    </row>
    <row r="6" spans="2:21" s="97" customFormat="1" ht="24.95" customHeight="1">
      <c r="B6" s="205" t="s">
        <v>210</v>
      </c>
      <c r="C6" s="103"/>
      <c r="D6" s="237" t="s">
        <v>240</v>
      </c>
      <c r="E6" s="210">
        <v>12.167999999999999</v>
      </c>
      <c r="F6" s="100"/>
      <c r="G6" s="149"/>
      <c r="H6" s="105"/>
      <c r="I6" s="149"/>
      <c r="J6" s="63"/>
      <c r="K6" s="63"/>
      <c r="L6" s="149"/>
      <c r="M6" s="207"/>
      <c r="N6" s="222"/>
      <c r="O6" s="216" t="s">
        <v>189</v>
      </c>
      <c r="P6" s="107"/>
      <c r="Q6" s="107"/>
      <c r="R6" s="107"/>
      <c r="S6" s="216" t="s">
        <v>206</v>
      </c>
      <c r="T6" s="107"/>
      <c r="U6" s="219"/>
    </row>
    <row r="7" spans="2:21" s="97" customFormat="1" ht="21.95" customHeight="1">
      <c r="B7" s="206" t="s">
        <v>201</v>
      </c>
      <c r="C7" s="224"/>
      <c r="D7" s="237" t="s">
        <v>240</v>
      </c>
      <c r="E7" s="211">
        <v>12.167999999999999</v>
      </c>
      <c r="F7" s="142"/>
      <c r="G7" s="143"/>
      <c r="H7" s="144"/>
      <c r="I7" s="144"/>
      <c r="J7" s="143"/>
      <c r="K7" s="143"/>
      <c r="L7" s="144"/>
      <c r="M7" s="289" t="s">
        <v>211</v>
      </c>
      <c r="N7" s="222"/>
      <c r="O7" s="216"/>
      <c r="P7" s="107"/>
      <c r="Q7" s="107"/>
      <c r="R7" s="107"/>
      <c r="S7" s="107"/>
      <c r="T7" s="107"/>
      <c r="U7" s="219"/>
    </row>
    <row r="8" spans="2:21" s="97" customFormat="1" ht="21.95" customHeight="1">
      <c r="B8" s="206" t="e">
        <f>#REF!</f>
        <v>#REF!</v>
      </c>
      <c r="C8" s="225" t="s">
        <v>195</v>
      </c>
      <c r="D8" s="63" t="s">
        <v>81</v>
      </c>
      <c r="E8" s="212">
        <v>5.76</v>
      </c>
      <c r="F8" s="142"/>
      <c r="G8" s="143"/>
      <c r="H8" s="144"/>
      <c r="I8" s="144"/>
      <c r="J8" s="143"/>
      <c r="K8" s="143"/>
      <c r="L8" s="144"/>
      <c r="M8" s="290"/>
      <c r="N8" s="222"/>
      <c r="O8" s="216"/>
      <c r="P8" s="107"/>
      <c r="Q8" s="107"/>
      <c r="R8" s="107"/>
      <c r="S8" s="107"/>
      <c r="T8" s="107"/>
      <c r="U8" s="219"/>
    </row>
    <row r="9" spans="2:21" s="97" customFormat="1" ht="21.95" customHeight="1">
      <c r="B9" s="146"/>
      <c r="C9" s="68"/>
      <c r="D9" s="63"/>
      <c r="E9" s="211"/>
      <c r="F9" s="142"/>
      <c r="G9" s="143"/>
      <c r="H9" s="143"/>
      <c r="I9" s="143"/>
      <c r="J9" s="143"/>
      <c r="K9" s="143"/>
      <c r="L9" s="143"/>
      <c r="M9" s="101"/>
      <c r="N9" s="221"/>
    </row>
    <row r="10" spans="2:21" s="97" customFormat="1" ht="21.95" customHeight="1">
      <c r="B10" s="206" t="s">
        <v>222</v>
      </c>
      <c r="C10" s="238" t="s">
        <v>237</v>
      </c>
      <c r="D10" s="237" t="s">
        <v>90</v>
      </c>
      <c r="E10" s="211">
        <v>6.86</v>
      </c>
      <c r="F10" s="142"/>
      <c r="G10" s="143"/>
      <c r="H10" s="144"/>
      <c r="I10" s="144"/>
      <c r="J10" s="143"/>
      <c r="K10" s="143"/>
      <c r="L10" s="144"/>
      <c r="M10" s="289" t="s">
        <v>228</v>
      </c>
      <c r="N10" s="222"/>
    </row>
    <row r="11" spans="2:21" s="97" customFormat="1" ht="21.95" customHeight="1">
      <c r="B11" s="206" t="s">
        <v>234</v>
      </c>
      <c r="C11" s="238"/>
      <c r="D11" s="223" t="s">
        <v>224</v>
      </c>
      <c r="E11" s="211">
        <v>0.41160000000000002</v>
      </c>
      <c r="F11" s="142"/>
      <c r="G11" s="143"/>
      <c r="H11" s="144"/>
      <c r="I11" s="144"/>
      <c r="J11" s="143"/>
      <c r="K11" s="143"/>
      <c r="L11" s="144"/>
      <c r="M11" s="291"/>
      <c r="N11" s="222">
        <v>0.06</v>
      </c>
    </row>
    <row r="12" spans="2:21" s="97" customFormat="1" ht="21.95" customHeight="1">
      <c r="B12" s="206" t="s">
        <v>223</v>
      </c>
      <c r="C12" s="68"/>
      <c r="D12" s="63" t="s">
        <v>81</v>
      </c>
      <c r="E12" s="211">
        <v>0.96040000000000014</v>
      </c>
      <c r="F12" s="142"/>
      <c r="G12" s="143"/>
      <c r="H12" s="144"/>
      <c r="I12" s="144"/>
      <c r="J12" s="143"/>
      <c r="K12" s="143"/>
      <c r="L12" s="144"/>
      <c r="M12" s="290"/>
      <c r="N12" s="222">
        <v>0.14000000000000001</v>
      </c>
    </row>
    <row r="13" spans="2:21" s="97" customFormat="1" ht="21.95" customHeight="1">
      <c r="B13" s="146"/>
      <c r="C13" s="68"/>
      <c r="D13" s="63"/>
      <c r="E13" s="211"/>
      <c r="F13" s="142"/>
      <c r="G13" s="143"/>
      <c r="H13" s="144"/>
      <c r="I13" s="144"/>
      <c r="J13" s="143"/>
      <c r="K13" s="143"/>
      <c r="L13" s="144"/>
      <c r="M13" s="252"/>
      <c r="N13" s="222"/>
    </row>
    <row r="14" spans="2:21" s="97" customFormat="1" ht="21.95" customHeight="1">
      <c r="B14" s="206" t="s">
        <v>235</v>
      </c>
      <c r="C14" s="238" t="s">
        <v>238</v>
      </c>
      <c r="D14" s="237" t="s">
        <v>90</v>
      </c>
      <c r="E14" s="211">
        <v>148.08000000000001</v>
      </c>
      <c r="F14" s="142"/>
      <c r="G14" s="143"/>
      <c r="H14" s="144"/>
      <c r="I14" s="144"/>
      <c r="J14" s="143"/>
      <c r="K14" s="143"/>
      <c r="L14" s="144"/>
      <c r="M14" s="289" t="s">
        <v>229</v>
      </c>
      <c r="N14" s="222"/>
    </row>
    <row r="15" spans="2:21" s="97" customFormat="1" ht="21.95" customHeight="1">
      <c r="B15" s="146" t="e">
        <f>#REF!</f>
        <v>#REF!</v>
      </c>
      <c r="C15" s="68"/>
      <c r="D15" s="63" t="s">
        <v>81</v>
      </c>
      <c r="E15" s="211">
        <v>35.539200000000001</v>
      </c>
      <c r="F15" s="142"/>
      <c r="G15" s="143"/>
      <c r="H15" s="144"/>
      <c r="I15" s="144"/>
      <c r="J15" s="143"/>
      <c r="K15" s="143"/>
      <c r="L15" s="144"/>
      <c r="M15" s="290"/>
      <c r="N15" s="222">
        <v>0.24</v>
      </c>
    </row>
    <row r="16" spans="2:21" s="97" customFormat="1" ht="21.95" customHeight="1">
      <c r="B16" s="146"/>
      <c r="C16" s="68"/>
      <c r="D16" s="63"/>
      <c r="E16" s="211"/>
      <c r="F16" s="142"/>
      <c r="G16" s="143"/>
      <c r="H16" s="144"/>
      <c r="I16" s="144"/>
      <c r="J16" s="143"/>
      <c r="K16" s="143"/>
      <c r="L16" s="144"/>
      <c r="M16" s="101"/>
      <c r="N16" s="222"/>
    </row>
    <row r="17" spans="2:14" s="97" customFormat="1" ht="21.95" customHeight="1">
      <c r="B17" s="206" t="s">
        <v>236</v>
      </c>
      <c r="C17" s="238" t="s">
        <v>248</v>
      </c>
      <c r="D17" s="237" t="s">
        <v>240</v>
      </c>
      <c r="E17" s="211">
        <v>12.167999999999999</v>
      </c>
      <c r="F17" s="142"/>
      <c r="G17" s="143"/>
      <c r="H17" s="144"/>
      <c r="I17" s="144"/>
      <c r="J17" s="143"/>
      <c r="K17" s="143"/>
      <c r="L17" s="144"/>
      <c r="M17" s="289" t="s">
        <v>230</v>
      </c>
      <c r="N17" s="222"/>
    </row>
    <row r="18" spans="2:14" s="97" customFormat="1" ht="21.95" customHeight="1">
      <c r="B18" s="146" t="e">
        <f>#REF!</f>
        <v>#REF!</v>
      </c>
      <c r="C18" s="68"/>
      <c r="D18" s="63" t="s">
        <v>81</v>
      </c>
      <c r="E18" s="211">
        <v>8.0308799999999998</v>
      </c>
      <c r="F18" s="142"/>
      <c r="G18" s="143"/>
      <c r="H18" s="144"/>
      <c r="I18" s="144"/>
      <c r="J18" s="143"/>
      <c r="K18" s="143"/>
      <c r="L18" s="144"/>
      <c r="M18" s="292"/>
      <c r="N18" s="222">
        <v>0.66</v>
      </c>
    </row>
    <row r="19" spans="2:14" s="97" customFormat="1" ht="21.95" customHeight="1">
      <c r="B19" s="206" t="s">
        <v>241</v>
      </c>
      <c r="C19" s="68"/>
      <c r="D19" s="223" t="s">
        <v>242</v>
      </c>
      <c r="E19" s="211">
        <v>2.5552799999999998</v>
      </c>
      <c r="F19" s="142"/>
      <c r="G19" s="143"/>
      <c r="H19" s="144"/>
      <c r="I19" s="144"/>
      <c r="J19" s="143"/>
      <c r="K19" s="143"/>
      <c r="L19" s="144"/>
      <c r="M19" s="290"/>
      <c r="N19" s="222">
        <v>0.21</v>
      </c>
    </row>
    <row r="20" spans="2:14" s="97" customFormat="1" ht="21.95" customHeight="1">
      <c r="B20" s="146"/>
      <c r="C20" s="68"/>
      <c r="D20" s="63"/>
      <c r="E20" s="211"/>
      <c r="F20" s="142"/>
      <c r="G20" s="143"/>
      <c r="H20" s="144"/>
      <c r="I20" s="144"/>
      <c r="J20" s="143"/>
      <c r="K20" s="143"/>
      <c r="L20" s="144"/>
      <c r="M20" s="101"/>
      <c r="N20" s="222"/>
    </row>
    <row r="21" spans="2:14" s="97" customFormat="1" ht="21.95" customHeight="1">
      <c r="B21" s="206" t="s">
        <v>246</v>
      </c>
      <c r="C21" s="238" t="s">
        <v>245</v>
      </c>
      <c r="D21" s="237" t="s">
        <v>240</v>
      </c>
      <c r="E21" s="211">
        <v>12.167999999999999</v>
      </c>
      <c r="F21" s="142"/>
      <c r="G21" s="143"/>
      <c r="H21" s="144"/>
      <c r="I21" s="144"/>
      <c r="J21" s="143"/>
      <c r="K21" s="143"/>
      <c r="L21" s="144"/>
      <c r="M21" s="289" t="s">
        <v>232</v>
      </c>
      <c r="N21" s="221"/>
    </row>
    <row r="22" spans="2:14" s="97" customFormat="1" ht="21.95" customHeight="1">
      <c r="B22" s="206" t="s">
        <v>243</v>
      </c>
      <c r="C22" s="68"/>
      <c r="D22" s="223" t="s">
        <v>198</v>
      </c>
      <c r="E22" s="211">
        <v>0.17035199999999998</v>
      </c>
      <c r="F22" s="142"/>
      <c r="G22" s="143"/>
      <c r="H22" s="144"/>
      <c r="I22" s="144"/>
      <c r="J22" s="143"/>
      <c r="K22" s="143"/>
      <c r="L22" s="144"/>
      <c r="M22" s="292"/>
      <c r="N22" s="222">
        <v>0.01</v>
      </c>
    </row>
    <row r="23" spans="2:14" s="97" customFormat="1" ht="21.95" customHeight="1">
      <c r="B23" s="206" t="s">
        <v>223</v>
      </c>
      <c r="C23" s="68"/>
      <c r="D23" s="223" t="s">
        <v>198</v>
      </c>
      <c r="E23" s="211">
        <v>0.17035199999999998</v>
      </c>
      <c r="F23" s="142"/>
      <c r="G23" s="143"/>
      <c r="H23" s="144"/>
      <c r="I23" s="144"/>
      <c r="J23" s="143"/>
      <c r="K23" s="143"/>
      <c r="L23" s="144"/>
      <c r="M23" s="290"/>
      <c r="N23" s="222">
        <v>0.01</v>
      </c>
    </row>
    <row r="24" spans="2:14" s="97" customFormat="1" ht="21.95" customHeight="1">
      <c r="B24" s="146"/>
      <c r="C24" s="187"/>
      <c r="D24" s="148"/>
      <c r="E24" s="190"/>
      <c r="F24" s="144"/>
      <c r="G24" s="144"/>
      <c r="H24" s="144"/>
      <c r="I24" s="144"/>
      <c r="J24" s="144"/>
      <c r="K24" s="144"/>
      <c r="L24" s="144"/>
      <c r="M24" s="101"/>
      <c r="N24" s="222"/>
    </row>
    <row r="25" spans="2:14" s="97" customFormat="1" ht="21.95" customHeight="1">
      <c r="B25" s="206" t="s">
        <v>247</v>
      </c>
      <c r="C25" s="238" t="s">
        <v>244</v>
      </c>
      <c r="D25" s="237" t="s">
        <v>240</v>
      </c>
      <c r="E25" s="211">
        <v>3.0419999999999998</v>
      </c>
      <c r="F25" s="137"/>
      <c r="G25" s="144"/>
      <c r="H25" s="144"/>
      <c r="I25" s="144"/>
      <c r="J25" s="144"/>
      <c r="K25" s="144"/>
      <c r="L25" s="144"/>
      <c r="M25" s="289" t="s">
        <v>231</v>
      </c>
      <c r="N25" s="221"/>
    </row>
    <row r="26" spans="2:14" ht="21.95" customHeight="1">
      <c r="B26" s="206" t="s">
        <v>223</v>
      </c>
      <c r="C26" s="68"/>
      <c r="D26" s="148" t="s">
        <v>81</v>
      </c>
      <c r="E26" s="211">
        <v>7.5563279999999988</v>
      </c>
      <c r="F26" s="137"/>
      <c r="G26" s="144"/>
      <c r="H26" s="144"/>
      <c r="I26" s="144"/>
      <c r="J26" s="144"/>
      <c r="K26" s="144"/>
      <c r="L26" s="144"/>
      <c r="M26" s="292"/>
      <c r="N26" s="222">
        <v>2.0699999999999998</v>
      </c>
    </row>
    <row r="27" spans="2:14" ht="21.95" customHeight="1">
      <c r="B27" s="206" t="s">
        <v>243</v>
      </c>
      <c r="C27" s="147"/>
      <c r="D27" s="227" t="s">
        <v>194</v>
      </c>
      <c r="E27" s="211">
        <v>0.14601599999999998</v>
      </c>
      <c r="F27" s="144"/>
      <c r="G27" s="144"/>
      <c r="H27" s="144"/>
      <c r="I27" s="144"/>
      <c r="J27" s="144"/>
      <c r="K27" s="144"/>
      <c r="L27" s="144"/>
      <c r="M27" s="290"/>
      <c r="N27" s="222">
        <v>0.04</v>
      </c>
    </row>
    <row r="28" spans="2:14" s="97" customFormat="1" ht="21.95" customHeight="1">
      <c r="B28" s="146"/>
      <c r="C28" s="68"/>
      <c r="D28" s="227"/>
      <c r="E28" s="211"/>
      <c r="F28" s="142"/>
      <c r="G28" s="143"/>
      <c r="H28" s="144"/>
      <c r="I28" s="144"/>
      <c r="J28" s="143"/>
      <c r="K28" s="143"/>
      <c r="L28" s="144"/>
      <c r="M28" s="101"/>
      <c r="N28" s="222"/>
    </row>
    <row r="29" spans="2:14" s="97" customFormat="1" ht="21.95" customHeight="1">
      <c r="B29" s="206" t="s">
        <v>249</v>
      </c>
      <c r="C29" s="68"/>
      <c r="D29" s="226" t="s">
        <v>261</v>
      </c>
      <c r="E29" s="213">
        <v>3.0419999999999998</v>
      </c>
      <c r="F29" s="142"/>
      <c r="G29" s="143"/>
      <c r="H29" s="144"/>
      <c r="I29" s="144"/>
      <c r="J29" s="144"/>
      <c r="K29" s="144"/>
      <c r="L29" s="144"/>
      <c r="M29" s="289" t="s">
        <v>233</v>
      </c>
      <c r="N29" s="222">
        <v>4.8600000000000003</v>
      </c>
    </row>
    <row r="30" spans="2:14" s="97" customFormat="1" ht="21.95" customHeight="1">
      <c r="B30" s="254" t="s">
        <v>251</v>
      </c>
      <c r="C30" s="68"/>
      <c r="D30" s="227" t="s">
        <v>250</v>
      </c>
      <c r="E30" s="253">
        <v>10</v>
      </c>
      <c r="F30" s="142"/>
      <c r="G30" s="143"/>
      <c r="H30" s="144"/>
      <c r="I30" s="144"/>
      <c r="J30" s="144"/>
      <c r="K30" s="144"/>
      <c r="L30" s="144"/>
      <c r="M30" s="290"/>
      <c r="N30" s="222">
        <v>9.73</v>
      </c>
    </row>
    <row r="31" spans="2:14" s="97" customFormat="1" ht="21.95" customHeight="1">
      <c r="B31" s="206"/>
      <c r="C31" s="68"/>
      <c r="D31" s="148"/>
      <c r="E31" s="211"/>
      <c r="F31" s="142"/>
      <c r="G31" s="143"/>
      <c r="H31" s="144"/>
      <c r="I31" s="144"/>
      <c r="J31" s="144"/>
      <c r="K31" s="144"/>
      <c r="L31" s="144"/>
      <c r="M31" s="246"/>
      <c r="N31" s="222"/>
    </row>
    <row r="32" spans="2:14" s="97" customFormat="1" ht="21.95" customHeight="1">
      <c r="B32" s="206"/>
      <c r="C32" s="68"/>
      <c r="D32" s="148"/>
      <c r="E32" s="211"/>
      <c r="F32" s="142"/>
      <c r="G32" s="143"/>
      <c r="H32" s="144"/>
      <c r="I32" s="144"/>
      <c r="J32" s="144"/>
      <c r="K32" s="144"/>
      <c r="L32" s="144"/>
      <c r="M32" s="246"/>
      <c r="N32" s="222"/>
    </row>
    <row r="33" spans="2:14" s="97" customFormat="1" ht="21.95" customHeight="1">
      <c r="B33" s="206"/>
      <c r="C33" s="68"/>
      <c r="D33" s="148"/>
      <c r="E33" s="211"/>
      <c r="F33" s="142"/>
      <c r="G33" s="143"/>
      <c r="H33" s="144"/>
      <c r="I33" s="144"/>
      <c r="J33" s="144"/>
      <c r="K33" s="144"/>
      <c r="L33" s="144"/>
      <c r="M33" s="246"/>
      <c r="N33" s="222"/>
    </row>
    <row r="34" spans="2:14" ht="21.95" customHeight="1">
      <c r="B34" s="146"/>
      <c r="C34" s="147"/>
      <c r="D34" s="148"/>
      <c r="E34" s="190"/>
      <c r="F34" s="144"/>
      <c r="G34" s="144"/>
      <c r="H34" s="144"/>
      <c r="I34" s="144"/>
      <c r="J34" s="144"/>
      <c r="K34" s="144"/>
      <c r="L34" s="144"/>
      <c r="M34" s="152"/>
    </row>
    <row r="35" spans="2:14" ht="21.95" customHeight="1">
      <c r="B35" s="205"/>
      <c r="C35" s="147"/>
      <c r="D35" s="148"/>
      <c r="E35" s="190"/>
      <c r="F35" s="144"/>
      <c r="G35" s="144"/>
      <c r="H35" s="144"/>
      <c r="I35" s="144"/>
      <c r="J35" s="144"/>
      <c r="K35" s="144"/>
      <c r="L35" s="144"/>
      <c r="M35" s="152"/>
    </row>
    <row r="36" spans="2:14" ht="21.95" customHeight="1">
      <c r="B36" s="146"/>
      <c r="C36" s="187"/>
      <c r="D36" s="148"/>
      <c r="E36" s="190"/>
      <c r="F36" s="144"/>
      <c r="G36" s="144"/>
      <c r="H36" s="144"/>
      <c r="I36" s="144"/>
      <c r="J36" s="144"/>
      <c r="K36" s="144"/>
      <c r="L36" s="144"/>
      <c r="M36" s="152"/>
      <c r="N36" s="222"/>
    </row>
    <row r="37" spans="2:14" s="97" customFormat="1" ht="24.95" customHeight="1">
      <c r="B37" s="148"/>
      <c r="C37" s="68"/>
      <c r="D37" s="63"/>
      <c r="E37" s="211"/>
      <c r="F37" s="142"/>
      <c r="G37" s="143"/>
      <c r="H37" s="143"/>
      <c r="I37" s="143"/>
      <c r="J37" s="143"/>
      <c r="K37" s="143"/>
      <c r="L37" s="143"/>
      <c r="M37" s="101"/>
      <c r="N37" s="220"/>
    </row>
    <row r="38" spans="2:14" ht="27.95" customHeight="1">
      <c r="B38" s="146"/>
      <c r="C38" s="147"/>
      <c r="D38" s="148"/>
      <c r="E38" s="190"/>
      <c r="F38" s="144"/>
      <c r="G38" s="144"/>
      <c r="H38" s="144"/>
      <c r="I38" s="144"/>
      <c r="J38" s="144"/>
      <c r="K38" s="144"/>
      <c r="L38" s="144"/>
      <c r="M38" s="152"/>
    </row>
    <row r="39" spans="2:14" ht="27.95" customHeight="1">
      <c r="B39" s="146"/>
      <c r="C39" s="147"/>
      <c r="D39" s="148"/>
      <c r="E39" s="190"/>
      <c r="F39" s="144"/>
      <c r="G39" s="144"/>
      <c r="H39" s="144"/>
      <c r="I39" s="144"/>
      <c r="J39" s="144"/>
      <c r="K39" s="144"/>
      <c r="L39" s="144"/>
      <c r="M39" s="150"/>
    </row>
    <row r="40" spans="2:14" ht="27.95" customHeight="1">
      <c r="B40" s="146"/>
      <c r="C40" s="147"/>
      <c r="D40" s="148"/>
      <c r="E40" s="190"/>
      <c r="F40" s="144"/>
      <c r="G40" s="144"/>
      <c r="H40" s="144"/>
      <c r="I40" s="144"/>
      <c r="J40" s="144"/>
      <c r="K40" s="144"/>
      <c r="L40" s="144"/>
      <c r="M40" s="152"/>
    </row>
    <row r="41" spans="2:14" ht="27.95" customHeight="1">
      <c r="B41" s="146"/>
      <c r="C41" s="147"/>
      <c r="D41" s="148"/>
      <c r="E41" s="190"/>
      <c r="F41" s="144"/>
      <c r="G41" s="144"/>
      <c r="H41" s="144"/>
      <c r="I41" s="144"/>
      <c r="J41" s="144"/>
      <c r="K41" s="144"/>
      <c r="L41" s="144"/>
      <c r="M41" s="152"/>
      <c r="N41" s="222"/>
    </row>
    <row r="42" spans="2:14" s="97" customFormat="1" ht="24.95" customHeight="1">
      <c r="B42" s="148"/>
      <c r="C42" s="68"/>
      <c r="D42" s="63"/>
      <c r="E42" s="211"/>
      <c r="F42" s="142"/>
      <c r="G42" s="143"/>
      <c r="H42" s="143"/>
      <c r="I42" s="143"/>
      <c r="J42" s="143"/>
      <c r="K42" s="143"/>
      <c r="L42" s="143"/>
      <c r="M42" s="101"/>
      <c r="N42" s="220"/>
    </row>
    <row r="43" spans="2:14" ht="27.95" customHeight="1">
      <c r="B43" s="146"/>
      <c r="C43" s="147"/>
      <c r="D43" s="148"/>
      <c r="E43" s="190"/>
      <c r="F43" s="144"/>
      <c r="G43" s="144"/>
      <c r="H43" s="144"/>
      <c r="I43" s="144"/>
      <c r="J43" s="144"/>
      <c r="K43" s="144"/>
      <c r="L43" s="144"/>
      <c r="M43" s="152"/>
    </row>
    <row r="44" spans="2:14" ht="27.95" customHeight="1">
      <c r="B44" s="146"/>
      <c r="C44" s="147"/>
      <c r="D44" s="148"/>
      <c r="E44" s="190"/>
      <c r="F44" s="144"/>
      <c r="G44" s="144"/>
      <c r="H44" s="144"/>
      <c r="I44" s="144"/>
      <c r="J44" s="144"/>
      <c r="K44" s="144"/>
      <c r="L44" s="144"/>
      <c r="M44" s="150"/>
    </row>
    <row r="45" spans="2:14" ht="27.95" customHeight="1">
      <c r="B45" s="146"/>
      <c r="C45" s="147"/>
      <c r="D45" s="148"/>
      <c r="E45" s="190"/>
      <c r="F45" s="144"/>
      <c r="G45" s="144"/>
      <c r="H45" s="144"/>
      <c r="I45" s="144"/>
      <c r="J45" s="144"/>
      <c r="K45" s="144"/>
      <c r="L45" s="144"/>
      <c r="M45" s="152"/>
    </row>
    <row r="46" spans="2:14" ht="27.95" customHeight="1">
      <c r="B46" s="146"/>
      <c r="C46" s="147"/>
      <c r="D46" s="148"/>
      <c r="E46" s="190"/>
      <c r="F46" s="144"/>
      <c r="G46" s="144"/>
      <c r="H46" s="144"/>
      <c r="I46" s="144"/>
      <c r="J46" s="144"/>
      <c r="K46" s="144"/>
      <c r="L46" s="144"/>
      <c r="M46" s="152"/>
    </row>
    <row r="47" spans="2:14" ht="27.95" customHeight="1">
      <c r="B47" s="146"/>
      <c r="C47" s="147"/>
      <c r="D47" s="148"/>
      <c r="E47" s="190"/>
      <c r="F47" s="144"/>
      <c r="G47" s="144"/>
      <c r="H47" s="144"/>
      <c r="I47" s="144"/>
      <c r="J47" s="144"/>
      <c r="K47" s="144"/>
      <c r="L47" s="144"/>
      <c r="M47" s="152"/>
    </row>
    <row r="48" spans="2:14" ht="27.95" customHeight="1">
      <c r="B48" s="146"/>
      <c r="C48" s="147"/>
      <c r="D48" s="148"/>
      <c r="E48" s="190"/>
      <c r="F48" s="144"/>
      <c r="G48" s="144"/>
      <c r="H48" s="144"/>
      <c r="I48" s="144"/>
      <c r="J48" s="144"/>
      <c r="K48" s="144"/>
      <c r="L48" s="144"/>
      <c r="M48" s="152"/>
    </row>
    <row r="49" spans="2:14" ht="27.95" customHeight="1">
      <c r="B49" s="146"/>
      <c r="C49" s="187"/>
      <c r="D49" s="148"/>
      <c r="E49" s="190"/>
      <c r="F49" s="144"/>
      <c r="G49" s="144"/>
      <c r="H49" s="144"/>
      <c r="I49" s="144"/>
      <c r="J49" s="144"/>
      <c r="K49" s="144"/>
      <c r="L49" s="144"/>
      <c r="M49" s="152"/>
      <c r="N49" s="222"/>
    </row>
    <row r="50" spans="2:14" s="97" customFormat="1" ht="24.95" customHeight="1">
      <c r="B50" s="148"/>
      <c r="C50" s="68"/>
      <c r="D50" s="63"/>
      <c r="E50" s="211"/>
      <c r="F50" s="142"/>
      <c r="G50" s="143"/>
      <c r="H50" s="143"/>
      <c r="I50" s="143"/>
      <c r="J50" s="143"/>
      <c r="K50" s="143"/>
      <c r="L50" s="143"/>
      <c r="M50" s="101"/>
      <c r="N50" s="220"/>
    </row>
    <row r="51" spans="2:14" ht="27.95" customHeight="1">
      <c r="B51" s="146"/>
      <c r="C51" s="147"/>
      <c r="D51" s="148"/>
      <c r="E51" s="190"/>
      <c r="F51" s="144"/>
      <c r="G51" s="144"/>
      <c r="H51" s="144"/>
      <c r="I51" s="144"/>
      <c r="J51" s="144"/>
      <c r="K51" s="144"/>
      <c r="L51" s="144"/>
      <c r="M51" s="152"/>
    </row>
    <row r="52" spans="2:14" ht="27.95" customHeight="1">
      <c r="B52" s="146"/>
      <c r="C52" s="147"/>
      <c r="D52" s="148"/>
      <c r="E52" s="190"/>
      <c r="F52" s="144"/>
      <c r="G52" s="144"/>
      <c r="H52" s="144"/>
      <c r="I52" s="144"/>
      <c r="J52" s="144"/>
      <c r="K52" s="144"/>
      <c r="L52" s="144"/>
      <c r="M52" s="150"/>
    </row>
    <row r="53" spans="2:14" ht="27.95" customHeight="1">
      <c r="B53" s="146"/>
      <c r="C53" s="147"/>
      <c r="D53" s="148"/>
      <c r="E53" s="190"/>
      <c r="F53" s="144"/>
      <c r="G53" s="144"/>
      <c r="H53" s="144"/>
      <c r="I53" s="144"/>
      <c r="J53" s="144"/>
      <c r="K53" s="144"/>
      <c r="L53" s="144"/>
      <c r="M53" s="152"/>
    </row>
    <row r="54" spans="2:14" ht="27.95" customHeight="1">
      <c r="B54" s="146"/>
      <c r="C54" s="147"/>
      <c r="D54" s="148"/>
      <c r="E54" s="190"/>
      <c r="F54" s="144"/>
      <c r="G54" s="144"/>
      <c r="H54" s="144"/>
      <c r="I54" s="144"/>
      <c r="J54" s="144"/>
      <c r="K54" s="144"/>
      <c r="L54" s="144"/>
      <c r="M54" s="152"/>
    </row>
    <row r="55" spans="2:14" ht="27.95" customHeight="1">
      <c r="B55" s="146"/>
      <c r="C55" s="147"/>
      <c r="D55" s="148"/>
      <c r="E55" s="190"/>
      <c r="F55" s="144"/>
      <c r="G55" s="144"/>
      <c r="H55" s="144"/>
      <c r="I55" s="144"/>
      <c r="J55" s="144"/>
      <c r="K55" s="144"/>
      <c r="L55" s="144"/>
      <c r="M55" s="152"/>
    </row>
    <row r="56" spans="2:14" ht="27.95" customHeight="1">
      <c r="B56" s="146"/>
      <c r="C56" s="147"/>
      <c r="D56" s="148"/>
      <c r="E56" s="190"/>
      <c r="F56" s="144"/>
      <c r="G56" s="144"/>
      <c r="H56" s="144"/>
      <c r="I56" s="144"/>
      <c r="J56" s="144"/>
      <c r="K56" s="144"/>
      <c r="L56" s="144"/>
      <c r="M56" s="152"/>
    </row>
    <row r="57" spans="2:14" ht="27.95" customHeight="1">
      <c r="B57" s="146"/>
      <c r="C57" s="187"/>
      <c r="D57" s="148"/>
      <c r="E57" s="190"/>
      <c r="F57" s="144"/>
      <c r="G57" s="144"/>
      <c r="H57" s="144"/>
      <c r="I57" s="144"/>
      <c r="J57" s="144"/>
      <c r="K57" s="144"/>
      <c r="L57" s="144"/>
      <c r="M57" s="152"/>
    </row>
    <row r="58" spans="2:14" ht="27.95" customHeight="1">
      <c r="B58" s="146"/>
      <c r="C58" s="147"/>
      <c r="D58" s="148"/>
      <c r="E58" s="190"/>
      <c r="F58" s="144"/>
      <c r="G58" s="144"/>
      <c r="H58" s="144"/>
      <c r="I58" s="144"/>
      <c r="J58" s="144"/>
      <c r="K58" s="144"/>
      <c r="L58" s="144"/>
      <c r="M58" s="152"/>
    </row>
    <row r="59" spans="2:14" ht="27.95" customHeight="1">
      <c r="B59" s="146"/>
      <c r="C59" s="147"/>
      <c r="D59" s="148"/>
      <c r="E59" s="190"/>
      <c r="F59" s="144"/>
      <c r="G59" s="144"/>
      <c r="H59" s="144"/>
      <c r="I59" s="144"/>
      <c r="J59" s="144"/>
      <c r="K59" s="144"/>
      <c r="L59" s="144"/>
      <c r="M59" s="152"/>
    </row>
    <row r="60" spans="2:14" ht="27.95" customHeight="1">
      <c r="B60" s="146"/>
      <c r="C60" s="187"/>
      <c r="D60" s="148"/>
      <c r="E60" s="190"/>
      <c r="F60" s="144"/>
      <c r="G60" s="144"/>
      <c r="H60" s="144"/>
      <c r="I60" s="144"/>
      <c r="J60" s="144"/>
      <c r="K60" s="144"/>
      <c r="L60" s="144"/>
      <c r="M60" s="152"/>
      <c r="N60" s="222"/>
    </row>
    <row r="61" spans="2:14" s="97" customFormat="1" ht="24.95" customHeight="1">
      <c r="B61" s="148"/>
      <c r="C61" s="68"/>
      <c r="D61" s="63"/>
      <c r="E61" s="211"/>
      <c r="F61" s="142"/>
      <c r="G61" s="143"/>
      <c r="H61" s="143"/>
      <c r="I61" s="143"/>
      <c r="J61" s="143"/>
      <c r="K61" s="143"/>
      <c r="L61" s="143"/>
      <c r="M61" s="101"/>
      <c r="N61" s="220"/>
    </row>
    <row r="62" spans="2:14" ht="27.95" customHeight="1">
      <c r="B62" s="146"/>
      <c r="C62" s="147"/>
      <c r="D62" s="148"/>
      <c r="E62" s="190"/>
      <c r="F62" s="144"/>
      <c r="G62" s="144"/>
      <c r="H62" s="144"/>
      <c r="I62" s="144"/>
      <c r="J62" s="144"/>
      <c r="K62" s="144"/>
      <c r="L62" s="144"/>
      <c r="M62" s="152"/>
    </row>
    <row r="63" spans="2:14" ht="27.95" customHeight="1">
      <c r="B63" s="146"/>
      <c r="C63" s="147"/>
      <c r="D63" s="148"/>
      <c r="E63" s="190"/>
      <c r="F63" s="144"/>
      <c r="G63" s="144"/>
      <c r="H63" s="189"/>
      <c r="I63" s="144"/>
      <c r="J63" s="144"/>
      <c r="K63" s="144"/>
      <c r="L63" s="144"/>
      <c r="M63" s="150"/>
    </row>
    <row r="64" spans="2:14" ht="27.95" customHeight="1">
      <c r="B64" s="146"/>
      <c r="C64" s="147"/>
      <c r="D64" s="148"/>
      <c r="E64" s="190"/>
      <c r="F64" s="144"/>
      <c r="G64" s="144"/>
      <c r="H64" s="144"/>
      <c r="I64" s="144"/>
      <c r="J64" s="144"/>
      <c r="K64" s="144"/>
      <c r="L64" s="144"/>
      <c r="M64" s="152"/>
    </row>
    <row r="65" spans="2:14" ht="27.95" customHeight="1">
      <c r="B65" s="146"/>
      <c r="C65" s="147"/>
      <c r="D65" s="148"/>
      <c r="E65" s="190"/>
      <c r="F65" s="144"/>
      <c r="G65" s="144"/>
      <c r="H65" s="144"/>
      <c r="I65" s="144"/>
      <c r="J65" s="144"/>
      <c r="K65" s="144"/>
      <c r="L65" s="144"/>
      <c r="M65" s="152"/>
    </row>
    <row r="66" spans="2:14" ht="27.95" customHeight="1">
      <c r="B66" s="146"/>
      <c r="C66" s="147"/>
      <c r="D66" s="148"/>
      <c r="E66" s="190"/>
      <c r="F66" s="144"/>
      <c r="G66" s="144"/>
      <c r="H66" s="144"/>
      <c r="I66" s="144"/>
      <c r="J66" s="144"/>
      <c r="K66" s="144"/>
      <c r="L66" s="144"/>
      <c r="M66" s="152"/>
      <c r="N66" s="222"/>
    </row>
    <row r="67" spans="2:14" s="97" customFormat="1" ht="24.95" customHeight="1">
      <c r="B67" s="148"/>
      <c r="C67" s="68"/>
      <c r="D67" s="63"/>
      <c r="E67" s="211"/>
      <c r="F67" s="142"/>
      <c r="G67" s="143"/>
      <c r="H67" s="143"/>
      <c r="I67" s="143"/>
      <c r="J67" s="143"/>
      <c r="K67" s="143"/>
      <c r="L67" s="143"/>
      <c r="M67" s="101"/>
      <c r="N67" s="220"/>
    </row>
    <row r="68" spans="2:14" ht="27.75" customHeight="1">
      <c r="B68" s="146"/>
      <c r="C68" s="147"/>
      <c r="D68" s="148"/>
      <c r="E68" s="190"/>
      <c r="F68" s="144"/>
      <c r="G68" s="144"/>
      <c r="H68" s="144"/>
      <c r="I68" s="144"/>
      <c r="J68" s="144"/>
      <c r="K68" s="144"/>
      <c r="L68" s="144"/>
      <c r="M68" s="152"/>
    </row>
    <row r="69" spans="2:14" ht="27.95" customHeight="1">
      <c r="B69" s="146"/>
      <c r="C69" s="147"/>
      <c r="D69" s="148"/>
      <c r="E69" s="190"/>
      <c r="F69" s="144"/>
      <c r="G69" s="144"/>
      <c r="H69" s="144"/>
      <c r="I69" s="144"/>
      <c r="J69" s="144"/>
      <c r="K69" s="144"/>
      <c r="L69" s="144"/>
      <c r="M69" s="150"/>
    </row>
    <row r="70" spans="2:14" ht="27.95" customHeight="1">
      <c r="B70" s="146"/>
      <c r="C70" s="147"/>
      <c r="D70" s="148"/>
      <c r="E70" s="190"/>
      <c r="F70" s="144"/>
      <c r="G70" s="144"/>
      <c r="H70" s="144"/>
      <c r="I70" s="144"/>
      <c r="J70" s="144"/>
      <c r="K70" s="144"/>
      <c r="L70" s="144"/>
      <c r="M70" s="152"/>
    </row>
    <row r="71" spans="2:14" ht="27.95" customHeight="1">
      <c r="B71" s="146"/>
      <c r="C71" s="147"/>
      <c r="D71" s="148"/>
      <c r="E71" s="190"/>
      <c r="F71" s="144"/>
      <c r="G71" s="144"/>
      <c r="H71" s="144"/>
      <c r="I71" s="144"/>
      <c r="J71" s="144"/>
      <c r="K71" s="144"/>
      <c r="L71" s="144"/>
      <c r="M71" s="152"/>
    </row>
    <row r="72" spans="2:14" ht="27.95" customHeight="1">
      <c r="B72" s="146"/>
      <c r="C72" s="187"/>
      <c r="D72" s="148"/>
      <c r="E72" s="190"/>
      <c r="F72" s="144"/>
      <c r="G72" s="144"/>
      <c r="H72" s="144"/>
      <c r="I72" s="144"/>
      <c r="J72" s="144"/>
      <c r="K72" s="144"/>
      <c r="L72" s="144"/>
      <c r="M72" s="152"/>
    </row>
    <row r="73" spans="2:14" ht="27.95" customHeight="1">
      <c r="B73" s="146"/>
      <c r="C73" s="187"/>
      <c r="D73" s="148"/>
      <c r="E73" s="190"/>
      <c r="F73" s="144"/>
      <c r="G73" s="144"/>
      <c r="H73" s="144"/>
      <c r="I73" s="144"/>
      <c r="J73" s="144"/>
      <c r="K73" s="144"/>
      <c r="L73" s="144"/>
      <c r="M73" s="152"/>
    </row>
    <row r="74" spans="2:14" ht="27.95" customHeight="1">
      <c r="B74" s="146"/>
      <c r="C74" s="187"/>
      <c r="D74" s="148"/>
      <c r="E74" s="190"/>
      <c r="F74" s="144"/>
      <c r="G74" s="144"/>
      <c r="H74" s="144"/>
      <c r="I74" s="144"/>
      <c r="J74" s="144"/>
      <c r="K74" s="144"/>
      <c r="L74" s="144"/>
      <c r="M74" s="152"/>
      <c r="N74" s="222"/>
    </row>
    <row r="75" spans="2:14" s="97" customFormat="1" ht="24.95" customHeight="1">
      <c r="B75" s="148"/>
      <c r="C75" s="68"/>
      <c r="D75" s="63"/>
      <c r="E75" s="211"/>
      <c r="F75" s="142"/>
      <c r="G75" s="143"/>
      <c r="H75" s="143"/>
      <c r="I75" s="143"/>
      <c r="J75" s="143"/>
      <c r="K75" s="143"/>
      <c r="L75" s="143"/>
      <c r="M75" s="101"/>
      <c r="N75" s="220"/>
    </row>
    <row r="76" spans="2:14" ht="27.95" customHeight="1">
      <c r="B76" s="146"/>
      <c r="C76" s="187"/>
      <c r="D76" s="148"/>
      <c r="E76" s="190"/>
      <c r="F76" s="144"/>
      <c r="G76" s="144"/>
      <c r="H76" s="144"/>
      <c r="I76" s="144"/>
      <c r="J76" s="144"/>
      <c r="K76" s="144"/>
      <c r="L76" s="144"/>
      <c r="M76" s="152"/>
    </row>
    <row r="77" spans="2:14" ht="27.95" customHeight="1">
      <c r="B77" s="146"/>
      <c r="C77" s="147"/>
      <c r="D77" s="148"/>
      <c r="E77" s="190"/>
      <c r="F77" s="144"/>
      <c r="G77" s="144"/>
      <c r="H77" s="144"/>
      <c r="I77" s="144"/>
      <c r="J77" s="144"/>
      <c r="K77" s="144"/>
      <c r="L77" s="144"/>
      <c r="M77" s="150"/>
    </row>
    <row r="78" spans="2:14" ht="27.95" customHeight="1">
      <c r="B78" s="146"/>
      <c r="C78" s="147"/>
      <c r="D78" s="148"/>
      <c r="E78" s="190"/>
      <c r="F78" s="144"/>
      <c r="G78" s="144"/>
      <c r="H78" s="144"/>
      <c r="I78" s="144"/>
      <c r="J78" s="144"/>
      <c r="K78" s="144"/>
      <c r="L78" s="144"/>
      <c r="M78" s="152"/>
    </row>
    <row r="79" spans="2:14" ht="27.95" customHeight="1">
      <c r="B79" s="146"/>
      <c r="C79" s="187"/>
      <c r="D79" s="148"/>
      <c r="E79" s="190"/>
      <c r="F79" s="144"/>
      <c r="G79" s="144"/>
      <c r="H79" s="144"/>
      <c r="I79" s="144"/>
      <c r="J79" s="144"/>
      <c r="K79" s="144"/>
      <c r="L79" s="144"/>
      <c r="M79" s="152"/>
      <c r="N79" s="222"/>
    </row>
    <row r="80" spans="2:14" s="97" customFormat="1" ht="24.95" customHeight="1">
      <c r="B80" s="148"/>
      <c r="C80" s="68"/>
      <c r="D80" s="63"/>
      <c r="E80" s="211"/>
      <c r="F80" s="142"/>
      <c r="G80" s="143"/>
      <c r="H80" s="143"/>
      <c r="I80" s="143"/>
      <c r="J80" s="143"/>
      <c r="K80" s="143"/>
      <c r="L80" s="143"/>
      <c r="M80" s="101"/>
      <c r="N80" s="220"/>
    </row>
    <row r="81" spans="2:25" ht="27.95" customHeight="1">
      <c r="B81" s="146"/>
      <c r="C81" s="147"/>
      <c r="D81" s="148"/>
      <c r="E81" s="190"/>
      <c r="F81" s="144"/>
      <c r="G81" s="144"/>
      <c r="H81" s="144"/>
      <c r="I81" s="144"/>
      <c r="J81" s="144"/>
      <c r="K81" s="144"/>
      <c r="L81" s="144"/>
      <c r="M81" s="152"/>
    </row>
    <row r="82" spans="2:25" ht="27.95" customHeight="1">
      <c r="B82" s="146"/>
      <c r="C82" s="147"/>
      <c r="D82" s="148"/>
      <c r="E82" s="190"/>
      <c r="F82" s="144"/>
      <c r="G82" s="144"/>
      <c r="H82" s="144"/>
      <c r="I82" s="144"/>
      <c r="J82" s="144"/>
      <c r="K82" s="144"/>
      <c r="L82" s="144"/>
      <c r="M82" s="150"/>
    </row>
    <row r="83" spans="2:25" ht="27.95" customHeight="1">
      <c r="B83" s="146"/>
      <c r="C83" s="147"/>
      <c r="D83" s="148"/>
      <c r="E83" s="190"/>
      <c r="F83" s="144"/>
      <c r="G83" s="144"/>
      <c r="H83" s="144"/>
      <c r="I83" s="144"/>
      <c r="J83" s="144"/>
      <c r="K83" s="144"/>
      <c r="L83" s="144"/>
      <c r="M83" s="152"/>
    </row>
    <row r="84" spans="2:25" ht="27.95" customHeight="1">
      <c r="B84" s="146"/>
      <c r="C84" s="147"/>
      <c r="D84" s="148"/>
      <c r="E84" s="190"/>
      <c r="F84" s="144"/>
      <c r="G84" s="144"/>
      <c r="H84" s="144"/>
      <c r="I84" s="144"/>
      <c r="J84" s="144"/>
      <c r="K84" s="144"/>
      <c r="L84" s="144"/>
      <c r="M84" s="152"/>
    </row>
    <row r="85" spans="2:25" ht="27.95" customHeight="1">
      <c r="B85" s="146"/>
      <c r="C85" s="187"/>
      <c r="D85" s="148"/>
      <c r="E85" s="190"/>
      <c r="F85" s="144"/>
      <c r="G85" s="144"/>
      <c r="H85" s="144"/>
      <c r="I85" s="144"/>
      <c r="J85" s="144"/>
      <c r="K85" s="144"/>
      <c r="L85" s="144"/>
      <c r="M85" s="152"/>
    </row>
    <row r="86" spans="2:25" ht="27.95" customHeight="1">
      <c r="B86" s="146"/>
      <c r="C86" s="147"/>
      <c r="D86" s="148"/>
      <c r="E86" s="190"/>
      <c r="F86" s="144"/>
      <c r="G86" s="144"/>
      <c r="H86" s="144"/>
      <c r="I86" s="144"/>
      <c r="J86" s="144"/>
      <c r="K86" s="144"/>
      <c r="L86" s="144"/>
      <c r="M86" s="152"/>
    </row>
    <row r="87" spans="2:25" ht="27.95" customHeight="1">
      <c r="B87" s="146"/>
      <c r="C87" s="147"/>
      <c r="D87" s="148"/>
      <c r="E87" s="190"/>
      <c r="F87" s="144"/>
      <c r="G87" s="144"/>
      <c r="H87" s="144"/>
      <c r="I87" s="144"/>
      <c r="J87" s="144"/>
      <c r="K87" s="144"/>
      <c r="L87" s="144"/>
      <c r="M87" s="152"/>
      <c r="N87" s="222"/>
    </row>
    <row r="88" spans="2:25" s="97" customFormat="1" ht="24.95" customHeight="1">
      <c r="B88" s="148"/>
      <c r="C88" s="68"/>
      <c r="D88" s="63"/>
      <c r="E88" s="211"/>
      <c r="F88" s="142"/>
      <c r="G88" s="143"/>
      <c r="H88" s="143"/>
      <c r="I88" s="143"/>
      <c r="J88" s="143"/>
      <c r="K88" s="143"/>
      <c r="L88" s="143"/>
      <c r="M88" s="101"/>
      <c r="N88" s="220"/>
    </row>
    <row r="89" spans="2:25" ht="27.95" customHeight="1">
      <c r="B89" s="146"/>
      <c r="C89" s="147"/>
      <c r="D89" s="148"/>
      <c r="E89" s="190"/>
      <c r="F89" s="144"/>
      <c r="G89" s="144"/>
      <c r="H89" s="144"/>
      <c r="I89" s="144"/>
      <c r="J89" s="144"/>
      <c r="K89" s="144"/>
      <c r="L89" s="144"/>
      <c r="M89" s="152"/>
      <c r="N89" s="153" t="s">
        <v>135</v>
      </c>
    </row>
    <row r="90" spans="2:25" ht="27.95" customHeight="1">
      <c r="B90" s="146"/>
      <c r="C90" s="147"/>
      <c r="D90" s="148"/>
      <c r="E90" s="190"/>
      <c r="F90" s="149"/>
      <c r="G90" s="149"/>
      <c r="H90" s="149"/>
      <c r="I90" s="149"/>
      <c r="J90" s="149"/>
      <c r="K90" s="149"/>
      <c r="L90" s="149"/>
      <c r="M90" s="150"/>
      <c r="N90" s="153">
        <f>물량!I42/25</f>
        <v>0</v>
      </c>
      <c r="O90" s="151" t="s">
        <v>131</v>
      </c>
      <c r="P90" s="151" t="s">
        <v>132</v>
      </c>
      <c r="Q90" s="151"/>
      <c r="R90" s="151"/>
      <c r="S90" s="151"/>
      <c r="T90" s="151"/>
      <c r="U90" s="151"/>
      <c r="V90" s="151"/>
      <c r="W90" s="151"/>
      <c r="X90" s="151"/>
      <c r="Y90" s="151"/>
    </row>
    <row r="91" spans="2:25" ht="27.95" customHeight="1">
      <c r="B91" s="146"/>
      <c r="C91" s="147"/>
      <c r="D91" s="148"/>
      <c r="E91" s="190"/>
      <c r="F91" s="149"/>
      <c r="G91" s="149"/>
      <c r="H91" s="149"/>
      <c r="I91" s="149"/>
      <c r="J91" s="149"/>
      <c r="K91" s="149"/>
      <c r="L91" s="149"/>
      <c r="M91" s="152"/>
      <c r="N91" s="153"/>
      <c r="O91" s="153">
        <v>0.04</v>
      </c>
      <c r="P91" s="151">
        <v>2</v>
      </c>
      <c r="Q91" s="151"/>
      <c r="R91" s="151"/>
      <c r="S91" s="151"/>
      <c r="T91" s="151"/>
      <c r="U91" s="151"/>
      <c r="V91" s="151"/>
      <c r="W91" s="151"/>
      <c r="X91" s="151"/>
      <c r="Y91" s="151"/>
    </row>
    <row r="92" spans="2:25" ht="27.95" customHeight="1">
      <c r="B92" s="146"/>
      <c r="C92" s="147"/>
      <c r="D92" s="148"/>
      <c r="E92" s="190"/>
      <c r="F92" s="149"/>
      <c r="G92" s="149"/>
      <c r="H92" s="149"/>
      <c r="I92" s="149"/>
      <c r="J92" s="149"/>
      <c r="K92" s="149"/>
      <c r="L92" s="149"/>
      <c r="M92" s="152"/>
      <c r="N92" s="222"/>
      <c r="O92" s="153"/>
      <c r="P92" s="151"/>
      <c r="Q92" s="151"/>
      <c r="R92" s="151"/>
      <c r="S92" s="151"/>
      <c r="T92" s="151"/>
      <c r="U92" s="151"/>
      <c r="V92" s="151"/>
      <c r="W92" s="151"/>
      <c r="X92" s="151"/>
      <c r="Y92" s="151"/>
    </row>
    <row r="93" spans="2:25" s="97" customFormat="1" ht="24.95" customHeight="1">
      <c r="B93" s="148"/>
      <c r="C93" s="68"/>
      <c r="D93" s="63"/>
      <c r="E93" s="211"/>
      <c r="F93" s="142"/>
      <c r="G93" s="143"/>
      <c r="H93" s="143"/>
      <c r="I93" s="143"/>
      <c r="J93" s="143"/>
      <c r="K93" s="143"/>
      <c r="L93" s="143"/>
      <c r="M93" s="101"/>
      <c r="N93" s="220"/>
    </row>
    <row r="94" spans="2:25" ht="27.95" customHeight="1">
      <c r="B94" s="146"/>
      <c r="C94" s="147"/>
      <c r="D94" s="148"/>
      <c r="E94" s="190"/>
      <c r="F94" s="144"/>
      <c r="G94" s="144"/>
      <c r="H94" s="144"/>
      <c r="I94" s="144"/>
      <c r="J94" s="144"/>
      <c r="K94" s="144"/>
      <c r="L94" s="144"/>
      <c r="M94" s="152"/>
    </row>
    <row r="95" spans="2:25" ht="30.75" customHeight="1">
      <c r="B95" s="146"/>
      <c r="C95" s="147"/>
      <c r="D95" s="148"/>
      <c r="E95" s="190"/>
      <c r="F95" s="149"/>
      <c r="G95" s="149"/>
      <c r="H95" s="149"/>
      <c r="I95" s="149"/>
      <c r="J95" s="149"/>
      <c r="K95" s="149"/>
      <c r="L95" s="149"/>
      <c r="M95" s="152"/>
    </row>
    <row r="96" spans="2:25" ht="27.95" customHeight="1">
      <c r="B96" s="146"/>
      <c r="C96" s="147"/>
      <c r="D96" s="181"/>
      <c r="E96" s="213"/>
      <c r="F96" s="137"/>
      <c r="G96" s="144"/>
      <c r="H96" s="144"/>
      <c r="I96" s="144"/>
      <c r="J96" s="144"/>
      <c r="K96" s="144"/>
      <c r="L96" s="144"/>
      <c r="M96" s="188"/>
    </row>
    <row r="97" spans="2:25" ht="27.95" customHeight="1">
      <c r="B97" s="146"/>
      <c r="C97" s="147"/>
      <c r="D97" s="148"/>
      <c r="E97" s="190"/>
      <c r="F97" s="137"/>
      <c r="G97" s="144"/>
      <c r="H97" s="144"/>
      <c r="I97" s="144"/>
      <c r="J97" s="144"/>
      <c r="K97" s="144"/>
      <c r="L97" s="144"/>
      <c r="M97" s="152"/>
      <c r="N97" s="222"/>
    </row>
    <row r="98" spans="2:25" s="97" customFormat="1" ht="24.95" customHeight="1">
      <c r="B98" s="146"/>
      <c r="C98" s="68"/>
      <c r="D98" s="63"/>
      <c r="E98" s="211"/>
      <c r="F98" s="142"/>
      <c r="G98" s="143"/>
      <c r="H98" s="143"/>
      <c r="I98" s="143"/>
      <c r="J98" s="143"/>
      <c r="K98" s="143"/>
      <c r="L98" s="144"/>
      <c r="M98" s="194"/>
      <c r="N98" s="222"/>
    </row>
    <row r="99" spans="2:25" s="97" customFormat="1" ht="24.95" customHeight="1">
      <c r="B99" s="148"/>
      <c r="C99" s="68"/>
      <c r="D99" s="63"/>
      <c r="E99" s="211"/>
      <c r="F99" s="142"/>
      <c r="G99" s="143"/>
      <c r="H99" s="143"/>
      <c r="I99" s="143"/>
      <c r="J99" s="143"/>
      <c r="K99" s="143"/>
      <c r="L99" s="143"/>
      <c r="M99" s="143"/>
      <c r="N99" s="220"/>
    </row>
    <row r="100" spans="2:25" ht="27.95" customHeight="1">
      <c r="B100" s="146"/>
      <c r="C100" s="147"/>
      <c r="D100" s="148"/>
      <c r="E100" s="190"/>
      <c r="F100" s="137"/>
      <c r="G100" s="144"/>
      <c r="H100" s="144"/>
      <c r="I100" s="144"/>
      <c r="J100" s="144"/>
      <c r="K100" s="144"/>
      <c r="L100" s="144"/>
      <c r="M100" s="152"/>
    </row>
    <row r="101" spans="2:25" ht="27.95" customHeight="1">
      <c r="B101" s="191"/>
      <c r="C101" s="147"/>
      <c r="D101" s="181"/>
      <c r="E101" s="213"/>
      <c r="F101" s="137"/>
      <c r="G101" s="144"/>
      <c r="H101" s="144"/>
      <c r="I101" s="144"/>
      <c r="J101" s="144"/>
      <c r="K101" s="144"/>
      <c r="L101" s="144"/>
      <c r="M101" s="188"/>
    </row>
    <row r="102" spans="2:25" ht="27.95" customHeight="1">
      <c r="B102" s="146"/>
      <c r="C102" s="147"/>
      <c r="D102" s="148"/>
      <c r="E102" s="190"/>
      <c r="F102" s="137"/>
      <c r="G102" s="144"/>
      <c r="H102" s="144"/>
      <c r="I102" s="144"/>
      <c r="J102" s="144"/>
      <c r="K102" s="144"/>
      <c r="L102" s="144"/>
      <c r="M102" s="152"/>
    </row>
    <row r="103" spans="2:25" ht="27.95" customHeight="1">
      <c r="B103" s="146"/>
      <c r="C103" s="147"/>
      <c r="D103" s="148"/>
      <c r="E103" s="190"/>
      <c r="F103" s="144"/>
      <c r="G103" s="144"/>
      <c r="H103" s="144"/>
      <c r="I103" s="144"/>
      <c r="J103" s="144"/>
      <c r="K103" s="144"/>
      <c r="L103" s="144"/>
      <c r="M103" s="152"/>
      <c r="N103" s="222"/>
    </row>
    <row r="104" spans="2:25" s="97" customFormat="1" ht="24.95" customHeight="1">
      <c r="B104" s="146"/>
      <c r="C104" s="68"/>
      <c r="D104" s="63"/>
      <c r="E104" s="211"/>
      <c r="F104" s="142"/>
      <c r="G104" s="143"/>
      <c r="H104" s="143"/>
      <c r="I104" s="143"/>
      <c r="J104" s="143"/>
      <c r="K104" s="143"/>
      <c r="L104" s="144"/>
      <c r="M104" s="194"/>
      <c r="N104" s="222"/>
    </row>
    <row r="105" spans="2:25" s="97" customFormat="1" ht="24.95" customHeight="1">
      <c r="B105" s="148"/>
      <c r="C105" s="68"/>
      <c r="D105" s="63"/>
      <c r="E105" s="211"/>
      <c r="F105" s="142"/>
      <c r="G105" s="143"/>
      <c r="H105" s="143"/>
      <c r="I105" s="143"/>
      <c r="J105" s="143"/>
      <c r="K105" s="143"/>
      <c r="L105" s="143"/>
      <c r="M105" s="101"/>
      <c r="N105" s="220"/>
    </row>
    <row r="106" spans="2:25" ht="27.95" customHeight="1">
      <c r="B106" s="146"/>
      <c r="C106" s="147"/>
      <c r="D106" s="148"/>
      <c r="E106" s="190"/>
      <c r="F106" s="144"/>
      <c r="G106" s="144"/>
      <c r="H106" s="144"/>
      <c r="I106" s="144"/>
      <c r="J106" s="144"/>
      <c r="K106" s="144"/>
      <c r="L106" s="144"/>
      <c r="M106" s="152"/>
    </row>
    <row r="107" spans="2:25" ht="27.95" hidden="1" customHeight="1">
      <c r="B107" s="146" t="s">
        <v>182</v>
      </c>
      <c r="C107" s="147"/>
      <c r="D107" s="148" t="s">
        <v>90</v>
      </c>
      <c r="E107" s="190">
        <f>6*8*3</f>
        <v>144</v>
      </c>
      <c r="F107" s="149" t="e">
        <f>G107/E107</f>
        <v>#REF!</v>
      </c>
      <c r="G107" s="149" t="e">
        <f>SUM(G108:G110)</f>
        <v>#REF!</v>
      </c>
      <c r="H107" s="192" t="e">
        <f>I107/E107</f>
        <v>#REF!</v>
      </c>
      <c r="I107" s="149" t="e">
        <f>SUM(I108:I110)</f>
        <v>#REF!</v>
      </c>
      <c r="J107" s="149"/>
      <c r="K107" s="149"/>
      <c r="L107" s="149" t="e">
        <f>SUM(L108:L110)</f>
        <v>#REF!</v>
      </c>
      <c r="M107" s="152"/>
    </row>
    <row r="108" spans="2:25" ht="27.95" hidden="1" customHeight="1">
      <c r="B108" s="146" t="s">
        <v>88</v>
      </c>
      <c r="C108" s="147"/>
      <c r="D108" s="148" t="s">
        <v>9</v>
      </c>
      <c r="E108" s="190" t="e">
        <f>E107*#REF!</f>
        <v>#REF!</v>
      </c>
      <c r="F108" s="149"/>
      <c r="G108" s="149" t="e">
        <f>ROUNDDOWN($E108*F108,1)</f>
        <v>#REF!</v>
      </c>
      <c r="H108" s="149" t="e">
        <f>VLOOKUP(B108,#REF!,2,FALSE)</f>
        <v>#REF!</v>
      </c>
      <c r="I108" s="149" t="e">
        <f>ROUNDDOWN($E108*H108,)</f>
        <v>#REF!</v>
      </c>
      <c r="J108" s="149"/>
      <c r="K108" s="149" t="e">
        <f>ROUNDDOWN($E108*J108,1)</f>
        <v>#REF!</v>
      </c>
      <c r="L108" s="149" t="e">
        <f>SUM(G108,I108,K108)</f>
        <v>#REF!</v>
      </c>
      <c r="M108" s="152"/>
    </row>
    <row r="109" spans="2:25" ht="27.95" hidden="1" customHeight="1">
      <c r="B109" s="146" t="s">
        <v>80</v>
      </c>
      <c r="C109" s="147"/>
      <c r="D109" s="148" t="s">
        <v>9</v>
      </c>
      <c r="E109" s="190" t="e">
        <f>E107*#REF!</f>
        <v>#REF!</v>
      </c>
      <c r="F109" s="149"/>
      <c r="G109" s="149" t="e">
        <f>ROUNDDOWN($E109*F109,1)</f>
        <v>#REF!</v>
      </c>
      <c r="H109" s="149" t="e">
        <f>VLOOKUP(B109,#REF!,2,FALSE)</f>
        <v>#REF!</v>
      </c>
      <c r="I109" s="149" t="e">
        <f>ROUNDDOWN($E109*H109,)</f>
        <v>#REF!</v>
      </c>
      <c r="J109" s="149"/>
      <c r="K109" s="149" t="e">
        <f>ROUNDDOWN($E109*J109,1)</f>
        <v>#REF!</v>
      </c>
      <c r="L109" s="149" t="e">
        <f>SUM(G109,I109,K109)</f>
        <v>#REF!</v>
      </c>
      <c r="M109" s="152"/>
    </row>
    <row r="110" spans="2:25" ht="27.95" hidden="1" customHeight="1">
      <c r="B110" s="146" t="s">
        <v>89</v>
      </c>
      <c r="C110" s="151" t="s">
        <v>121</v>
      </c>
      <c r="D110" s="148" t="s">
        <v>91</v>
      </c>
      <c r="E110" s="190">
        <v>1</v>
      </c>
      <c r="F110" s="149" t="e">
        <f>ROUNDDOWN((L108+L109)*#REF!,)</f>
        <v>#REF!</v>
      </c>
      <c r="G110" s="149" t="e">
        <f>ROUNDDOWN($E110*F110,1)</f>
        <v>#REF!</v>
      </c>
      <c r="H110" s="149"/>
      <c r="I110" s="149"/>
      <c r="J110" s="149"/>
      <c r="K110" s="149">
        <f>ROUNDDOWN($E110*J110,1)</f>
        <v>0</v>
      </c>
      <c r="L110" s="149" t="e">
        <f>SUM(G110,I110,K110)</f>
        <v>#REF!</v>
      </c>
      <c r="M110" s="152"/>
      <c r="N110" s="222"/>
    </row>
    <row r="111" spans="2:25" s="97" customFormat="1" ht="24.95" hidden="1" customHeight="1">
      <c r="B111" s="148" t="s">
        <v>22</v>
      </c>
      <c r="C111" s="68"/>
      <c r="D111" s="63"/>
      <c r="E111" s="211"/>
      <c r="F111" s="100"/>
      <c r="G111" s="63"/>
      <c r="H111" s="63"/>
      <c r="I111" s="63"/>
      <c r="J111" s="63"/>
      <c r="K111" s="63"/>
      <c r="L111" s="63"/>
      <c r="M111" s="101"/>
      <c r="N111" s="153" t="s">
        <v>135</v>
      </c>
    </row>
    <row r="112" spans="2:25" ht="27.95" hidden="1" customHeight="1">
      <c r="B112" s="146" t="s">
        <v>136</v>
      </c>
      <c r="C112" s="147"/>
      <c r="D112" s="148" t="s">
        <v>123</v>
      </c>
      <c r="E112" s="190">
        <f>물량!I53</f>
        <v>0</v>
      </c>
      <c r="F112" s="149"/>
      <c r="G112" s="149"/>
      <c r="H112" s="149" t="e">
        <f>I112/E112</f>
        <v>#REF!</v>
      </c>
      <c r="I112" s="149" t="e">
        <f>I113</f>
        <v>#REF!</v>
      </c>
      <c r="J112" s="149"/>
      <c r="K112" s="149"/>
      <c r="L112" s="149" t="e">
        <f>SUM(L113:L113)</f>
        <v>#REF!</v>
      </c>
      <c r="M112" s="150" t="s">
        <v>105</v>
      </c>
      <c r="N112" s="153">
        <f>물량!I52/25</f>
        <v>0</v>
      </c>
      <c r="O112" s="151" t="s">
        <v>131</v>
      </c>
      <c r="P112" s="151" t="s">
        <v>132</v>
      </c>
      <c r="Q112" s="151"/>
      <c r="R112" s="151"/>
      <c r="S112" s="151"/>
      <c r="T112" s="151"/>
      <c r="U112" s="151"/>
      <c r="V112" s="151"/>
      <c r="W112" s="151"/>
      <c r="X112" s="151"/>
      <c r="Y112" s="151"/>
    </row>
    <row r="113" spans="2:25" ht="27.95" hidden="1" customHeight="1">
      <c r="B113" s="146" t="s">
        <v>80</v>
      </c>
      <c r="C113" s="147"/>
      <c r="D113" s="148" t="s">
        <v>81</v>
      </c>
      <c r="E113" s="190" t="e">
        <f>#REF!/H113</f>
        <v>#REF!</v>
      </c>
      <c r="F113" s="149"/>
      <c r="G113" s="149"/>
      <c r="H113" s="149" t="e">
        <f>VLOOKUP(B113,#REF!,2,FALSE)</f>
        <v>#REF!</v>
      </c>
      <c r="I113" s="149" t="e">
        <f>ROUNDDOWN($E113*H113,)</f>
        <v>#REF!</v>
      </c>
      <c r="J113" s="149"/>
      <c r="K113" s="149"/>
      <c r="L113" s="149" t="e">
        <f>SUM(G113,I113,K113)</f>
        <v>#REF!</v>
      </c>
      <c r="M113" s="152"/>
      <c r="N113" s="153"/>
      <c r="O113" s="153">
        <v>0.04</v>
      </c>
      <c r="P113" s="151">
        <v>2</v>
      </c>
      <c r="Q113" s="151"/>
      <c r="R113" s="151"/>
      <c r="S113" s="151"/>
      <c r="T113" s="151"/>
      <c r="U113" s="151"/>
      <c r="V113" s="151"/>
      <c r="W113" s="151"/>
      <c r="X113" s="151"/>
      <c r="Y113" s="151"/>
    </row>
    <row r="114" spans="2:25" ht="27.95" hidden="1" customHeight="1">
      <c r="B114" s="146"/>
      <c r="C114" s="147"/>
      <c r="D114" s="148"/>
      <c r="E114" s="190"/>
      <c r="F114" s="149"/>
      <c r="G114" s="149"/>
      <c r="H114" s="149"/>
      <c r="I114" s="149"/>
      <c r="J114" s="149"/>
      <c r="K114" s="149"/>
      <c r="L114" s="149"/>
      <c r="M114" s="152"/>
      <c r="O114" s="153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</row>
  </sheetData>
  <mergeCells count="14">
    <mergeCell ref="B2:M2"/>
    <mergeCell ref="B4:B5"/>
    <mergeCell ref="C4:C5"/>
    <mergeCell ref="D4:D5"/>
    <mergeCell ref="E4:E5"/>
    <mergeCell ref="L4:L5"/>
    <mergeCell ref="M4:M5"/>
    <mergeCell ref="M7:M8"/>
    <mergeCell ref="M14:M15"/>
    <mergeCell ref="M29:M30"/>
    <mergeCell ref="M10:M12"/>
    <mergeCell ref="M17:M19"/>
    <mergeCell ref="M21:M23"/>
    <mergeCell ref="M25:M27"/>
  </mergeCells>
  <phoneticPr fontId="18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scale="61" fitToHeight="0" orientation="landscape" r:id="rId1"/>
  <headerFooter alignWithMargins="0"/>
  <rowBreaks count="1" manualBreakCount="1">
    <brk id="33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</sheetPr>
  <dimension ref="B1:Q47"/>
  <sheetViews>
    <sheetView showZeros="0" zoomScaleNormal="100" zoomScaleSheetLayoutView="90" workbookViewId="0">
      <pane xSplit="7" ySplit="6" topLeftCell="H37" activePane="bottomRight" state="frozen"/>
      <selection activeCell="D39" sqref="D39"/>
      <selection pane="topRight" activeCell="D39" sqref="D39"/>
      <selection pane="bottomLeft" activeCell="D39" sqref="D39"/>
      <selection pane="bottomRight" activeCell="D39" sqref="D39"/>
    </sheetView>
  </sheetViews>
  <sheetFormatPr defaultColWidth="8" defaultRowHeight="21.95" customHeight="1"/>
  <cols>
    <col min="1" max="1" width="8" style="45"/>
    <col min="2" max="3" width="5.77734375" style="45" customWidth="1"/>
    <col min="4" max="4" width="30" style="46" bestFit="1" customWidth="1"/>
    <col min="5" max="5" width="20.88671875" style="47" bestFit="1" customWidth="1"/>
    <col min="6" max="6" width="5.77734375" style="47" customWidth="1"/>
    <col min="7" max="7" width="6.6640625" style="48" bestFit="1" customWidth="1"/>
    <col min="8" max="8" width="7.6640625" style="49" bestFit="1" customWidth="1"/>
    <col min="9" max="9" width="10.6640625" style="45" bestFit="1" customWidth="1"/>
    <col min="10" max="10" width="9.6640625" style="45" bestFit="1" customWidth="1"/>
    <col min="11" max="11" width="15.44140625" style="45" bestFit="1" customWidth="1"/>
    <col min="12" max="12" width="7.6640625" style="45" bestFit="1" customWidth="1"/>
    <col min="13" max="13" width="10.6640625" style="45" bestFit="1" customWidth="1"/>
    <col min="14" max="14" width="17.5546875" style="45" bestFit="1" customWidth="1"/>
    <col min="15" max="15" width="12.109375" style="46" customWidth="1"/>
    <col min="16" max="16" width="0" style="45" hidden="1" customWidth="1"/>
    <col min="17" max="17" width="7.6640625" style="49" hidden="1" customWidth="1"/>
    <col min="18" max="19" width="0" style="45" hidden="1" customWidth="1"/>
    <col min="20" max="16384" width="8" style="45"/>
  </cols>
  <sheetData>
    <row r="1" spans="2:17" ht="21.95" customHeight="1">
      <c r="B1" s="1" t="s">
        <v>74</v>
      </c>
    </row>
    <row r="2" spans="2:17" ht="26.25">
      <c r="B2" s="295" t="s">
        <v>71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Q2" s="45"/>
    </row>
    <row r="4" spans="2:17" ht="21.95" customHeight="1"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 t="s">
        <v>58</v>
      </c>
      <c r="Q4" s="50"/>
    </row>
    <row r="5" spans="2:17" s="52" customFormat="1" ht="24.95" customHeight="1">
      <c r="B5" s="269" t="s">
        <v>68</v>
      </c>
      <c r="C5" s="270"/>
      <c r="D5" s="273" t="s">
        <v>10</v>
      </c>
      <c r="E5" s="266" t="s">
        <v>0</v>
      </c>
      <c r="F5" s="266" t="s">
        <v>2</v>
      </c>
      <c r="G5" s="296" t="s">
        <v>1</v>
      </c>
      <c r="H5" s="276" t="s">
        <v>3</v>
      </c>
      <c r="I5" s="276"/>
      <c r="J5" s="266" t="s">
        <v>4</v>
      </c>
      <c r="K5" s="266"/>
      <c r="L5" s="266" t="s">
        <v>5</v>
      </c>
      <c r="M5" s="266"/>
      <c r="N5" s="266" t="s">
        <v>69</v>
      </c>
      <c r="O5" s="267" t="s">
        <v>70</v>
      </c>
      <c r="Q5" s="52" t="s">
        <v>3</v>
      </c>
    </row>
    <row r="6" spans="2:17" s="52" customFormat="1" ht="24.95" customHeight="1">
      <c r="B6" s="271"/>
      <c r="C6" s="272"/>
      <c r="D6" s="274"/>
      <c r="E6" s="266"/>
      <c r="F6" s="266"/>
      <c r="G6" s="296"/>
      <c r="H6" s="53" t="s">
        <v>7</v>
      </c>
      <c r="I6" s="54" t="s">
        <v>8</v>
      </c>
      <c r="J6" s="54" t="s">
        <v>7</v>
      </c>
      <c r="K6" s="54" t="s">
        <v>8</v>
      </c>
      <c r="L6" s="54" t="s">
        <v>7</v>
      </c>
      <c r="M6" s="54" t="s">
        <v>8</v>
      </c>
      <c r="N6" s="266"/>
      <c r="O6" s="267"/>
      <c r="Q6" s="53" t="s">
        <v>7</v>
      </c>
    </row>
    <row r="7" spans="2:17" s="62" customFormat="1" ht="30" customHeight="1">
      <c r="B7" s="54">
        <v>1</v>
      </c>
      <c r="C7" s="54" t="e">
        <f>물량!#REF!</f>
        <v>#REF!</v>
      </c>
      <c r="D7" s="55" t="str">
        <f>물량!D7</f>
        <v>SCR 촉매</v>
      </c>
      <c r="E7" s="56" t="e">
        <f>물량!#REF!</f>
        <v>#REF!</v>
      </c>
      <c r="F7" s="57"/>
      <c r="G7" s="58"/>
      <c r="H7" s="59"/>
      <c r="I7" s="60"/>
      <c r="J7" s="60"/>
      <c r="K7" s="60"/>
      <c r="L7" s="60"/>
      <c r="M7" s="60"/>
      <c r="N7" s="60" t="e">
        <f>SUM(N8:N9)</f>
        <v>#REF!</v>
      </c>
      <c r="O7" s="61"/>
      <c r="Q7" s="59"/>
    </row>
    <row r="8" spans="2:17" s="47" customFormat="1" ht="30" customHeight="1">
      <c r="B8" s="63" t="e">
        <f>물량!#REF!</f>
        <v>#REF!</v>
      </c>
      <c r="C8" s="63" t="e">
        <f>물량!#REF!</f>
        <v>#REF!</v>
      </c>
      <c r="D8" s="64" t="str">
        <f>물량!D8</f>
        <v>SCR 촉매(신규)</v>
      </c>
      <c r="E8" s="42" t="str">
        <f>물량!E8</f>
        <v>압출성형, Honeycomb타입
촉매조성: TiO2/WO3/V2O5</v>
      </c>
      <c r="F8" s="65" t="str">
        <f>물량!F8</f>
        <v>개</v>
      </c>
      <c r="G8" s="77">
        <f>물량!I7</f>
        <v>0</v>
      </c>
      <c r="H8" s="66" t="e">
        <f>#REF!</f>
        <v>#REF!</v>
      </c>
      <c r="I8" s="67" t="e">
        <f>+ROUNDDOWN($G8*H8,)</f>
        <v>#REF!</v>
      </c>
      <c r="J8" s="67"/>
      <c r="K8" s="67">
        <f>+ROUNDDOWN($G8*J8,)</f>
        <v>0</v>
      </c>
      <c r="L8" s="67"/>
      <c r="M8" s="67">
        <f>+ROUNDDOWN($G8*L8,)</f>
        <v>0</v>
      </c>
      <c r="N8" s="67" t="e">
        <f>+M8+K8+I8</f>
        <v>#REF!</v>
      </c>
      <c r="O8" s="68"/>
      <c r="Q8" s="69">
        <v>866</v>
      </c>
    </row>
    <row r="9" spans="2:17" s="47" customFormat="1" ht="30" customHeight="1">
      <c r="B9" s="63" t="e">
        <f>물량!#REF!</f>
        <v>#REF!</v>
      </c>
      <c r="C9" s="63">
        <v>2</v>
      </c>
      <c r="D9" s="64" t="s">
        <v>159</v>
      </c>
      <c r="E9" s="42" t="e">
        <f>물량!#REF!</f>
        <v>#REF!</v>
      </c>
      <c r="F9" s="70" t="str">
        <f>일위대가222!D8</f>
        <v>개</v>
      </c>
      <c r="G9" s="77">
        <f>일위대가222!E8</f>
        <v>10</v>
      </c>
      <c r="H9" s="66" t="e">
        <f>일위대가222!F8</f>
        <v>#REF!</v>
      </c>
      <c r="I9" s="67" t="e">
        <f>+ROUNDDOWN($G9*H9,)</f>
        <v>#REF!</v>
      </c>
      <c r="J9" s="67" t="e">
        <f>일위대가222!H8</f>
        <v>#REF!</v>
      </c>
      <c r="K9" s="67" t="e">
        <f>+ROUNDDOWN($G9*J9,)</f>
        <v>#REF!</v>
      </c>
      <c r="L9" s="67"/>
      <c r="M9" s="67">
        <f>+ROUNDDOWN($G9*L9,)</f>
        <v>0</v>
      </c>
      <c r="N9" s="67" t="e">
        <f>+M9+K9+I9</f>
        <v>#REF!</v>
      </c>
      <c r="O9" s="68"/>
      <c r="Q9" s="69">
        <v>825</v>
      </c>
    </row>
    <row r="10" spans="2:17" s="47" customFormat="1" ht="30" customHeight="1">
      <c r="B10" s="63"/>
      <c r="C10" s="63"/>
      <c r="D10" s="64"/>
      <c r="E10" s="42"/>
      <c r="F10" s="65"/>
      <c r="G10" s="77"/>
      <c r="H10" s="66"/>
      <c r="I10" s="67"/>
      <c r="J10" s="67"/>
      <c r="K10" s="67"/>
      <c r="L10" s="67"/>
      <c r="M10" s="67"/>
      <c r="N10" s="67"/>
      <c r="O10" s="68"/>
      <c r="Q10" s="69"/>
    </row>
    <row r="11" spans="2:17" s="47" customFormat="1" ht="30" customHeight="1">
      <c r="B11" s="54">
        <v>2</v>
      </c>
      <c r="C11" s="54"/>
      <c r="D11" s="55" t="e">
        <f>물량!#REF!</f>
        <v>#REF!</v>
      </c>
      <c r="E11" s="56"/>
      <c r="F11" s="57"/>
      <c r="G11" s="58"/>
      <c r="H11" s="59"/>
      <c r="I11" s="60"/>
      <c r="J11" s="60"/>
      <c r="K11" s="60"/>
      <c r="L11" s="60"/>
      <c r="M11" s="60"/>
      <c r="N11" s="60" t="e">
        <f>SUM(N12:N12)</f>
        <v>#REF!</v>
      </c>
      <c r="O11" s="68"/>
      <c r="Q11" s="69"/>
    </row>
    <row r="12" spans="2:17" s="47" customFormat="1" ht="30" customHeight="1">
      <c r="B12" s="63" t="e">
        <f>물량!#REF!</f>
        <v>#REF!</v>
      </c>
      <c r="C12" s="63" t="e">
        <f>물량!#REF!</f>
        <v>#REF!</v>
      </c>
      <c r="D12" s="64" t="e">
        <f>물량!#REF!</f>
        <v>#REF!</v>
      </c>
      <c r="E12" s="42" t="e">
        <f>물량!#REF!</f>
        <v>#REF!</v>
      </c>
      <c r="F12" s="65" t="e">
        <f>물량!#REF!</f>
        <v>#REF!</v>
      </c>
      <c r="G12" s="77" t="e">
        <f>물량!#REF!</f>
        <v>#REF!</v>
      </c>
      <c r="H12" s="66" t="e">
        <f>#REF!</f>
        <v>#REF!</v>
      </c>
      <c r="I12" s="67" t="e">
        <f>+ROUNDDOWN($G12*H12,)</f>
        <v>#REF!</v>
      </c>
      <c r="J12" s="67"/>
      <c r="K12" s="67" t="e">
        <f>+ROUNDDOWN($G12*J12,)</f>
        <v>#REF!</v>
      </c>
      <c r="L12" s="67"/>
      <c r="M12" s="67" t="e">
        <f>+ROUNDDOWN($G12*L12,)</f>
        <v>#REF!</v>
      </c>
      <c r="N12" s="67" t="e">
        <f>+M12+K12+I12</f>
        <v>#REF!</v>
      </c>
      <c r="O12" s="68"/>
      <c r="Q12" s="69"/>
    </row>
    <row r="13" spans="2:17" s="47" customFormat="1" ht="30" customHeight="1">
      <c r="B13" s="63"/>
      <c r="C13" s="63"/>
      <c r="D13" s="64"/>
      <c r="E13" s="42"/>
      <c r="F13" s="65"/>
      <c r="G13" s="77"/>
      <c r="H13" s="66"/>
      <c r="I13" s="67"/>
      <c r="J13" s="67"/>
      <c r="K13" s="67"/>
      <c r="L13" s="67"/>
      <c r="M13" s="67"/>
      <c r="N13" s="67"/>
      <c r="O13" s="68"/>
      <c r="Q13" s="69"/>
    </row>
    <row r="14" spans="2:17" s="62" customFormat="1" ht="30" customHeight="1">
      <c r="B14" s="54">
        <v>3</v>
      </c>
      <c r="C14" s="54">
        <f>물량!C11</f>
        <v>0</v>
      </c>
      <c r="D14" s="55" t="str">
        <f>물량!D11</f>
        <v>SCR 촉매 중량</v>
      </c>
      <c r="E14" s="56">
        <f>물량!E11</f>
        <v>0</v>
      </c>
      <c r="F14" s="57">
        <f>+물량!F11</f>
        <v>0</v>
      </c>
      <c r="G14" s="58"/>
      <c r="H14" s="71"/>
      <c r="I14" s="72">
        <f>+ROUNDDOWN($G14*H14,)</f>
        <v>0</v>
      </c>
      <c r="J14" s="72"/>
      <c r="K14" s="72">
        <f>+ROUNDDOWN($G14*J14,)</f>
        <v>0</v>
      </c>
      <c r="L14" s="72"/>
      <c r="M14" s="72">
        <f>+ROUNDDOWN($G14*L14,)</f>
        <v>0</v>
      </c>
      <c r="N14" s="72" t="e">
        <f>SUM(N15:N16)</f>
        <v>#REF!</v>
      </c>
      <c r="O14" s="61"/>
      <c r="Q14" s="59">
        <v>805</v>
      </c>
    </row>
    <row r="15" spans="2:17" s="47" customFormat="1" ht="30" customHeight="1">
      <c r="B15" s="63">
        <f>물량!B12</f>
        <v>0</v>
      </c>
      <c r="C15" s="63">
        <f>물량!C12</f>
        <v>1</v>
      </c>
      <c r="D15" s="64" t="str">
        <f>물량!D12</f>
        <v>SCR 촉매(신규)</v>
      </c>
      <c r="E15" s="42" t="str">
        <f>물량!E12</f>
        <v>압출성형, Honeycomb타입
촉매조성: TiO2/WO3/V2O5</v>
      </c>
      <c r="F15" s="65" t="str">
        <f>+물량!F12</f>
        <v>kg</v>
      </c>
      <c r="G15" s="77">
        <f>물량!I12</f>
        <v>3042</v>
      </c>
      <c r="H15" s="66" t="e">
        <f>#REF!</f>
        <v>#REF!</v>
      </c>
      <c r="I15" s="67" t="e">
        <f>+ROUNDDOWN($G15*H15,)</f>
        <v>#REF!</v>
      </c>
      <c r="J15" s="67"/>
      <c r="K15" s="67">
        <f>+ROUNDDOWN($G15*J15,)</f>
        <v>0</v>
      </c>
      <c r="L15" s="67"/>
      <c r="M15" s="67">
        <f>+ROUNDDOWN($G15*L15,)</f>
        <v>0</v>
      </c>
      <c r="N15" s="67" t="e">
        <f>+M15+K15+I15</f>
        <v>#REF!</v>
      </c>
      <c r="O15" s="68"/>
      <c r="Q15" s="69">
        <v>866</v>
      </c>
    </row>
    <row r="16" spans="2:17" s="47" customFormat="1" ht="30" customHeight="1">
      <c r="B16" s="63"/>
      <c r="C16" s="63">
        <v>2</v>
      </c>
      <c r="D16" s="64" t="s">
        <v>170</v>
      </c>
      <c r="E16" s="42"/>
      <c r="F16" s="70" t="str">
        <f>일위대가222!D13</f>
        <v>ton</v>
      </c>
      <c r="G16" s="134">
        <f>일위대가222!E13</f>
        <v>0.09</v>
      </c>
      <c r="H16" s="66"/>
      <c r="I16" s="67"/>
      <c r="J16" s="67" t="e">
        <f>일위대가222!H13</f>
        <v>#REF!</v>
      </c>
      <c r="K16" s="67" t="e">
        <f>+ROUNDDOWN($G16*J16,)</f>
        <v>#REF!</v>
      </c>
      <c r="L16" s="67"/>
      <c r="M16" s="67"/>
      <c r="N16" s="67" t="e">
        <f>+M16+K16+I16</f>
        <v>#REF!</v>
      </c>
      <c r="O16" s="68"/>
      <c r="Q16" s="69"/>
    </row>
    <row r="17" spans="2:17" s="47" customFormat="1" ht="30" customHeight="1">
      <c r="B17" s="63"/>
      <c r="C17" s="63"/>
      <c r="D17" s="64"/>
      <c r="E17" s="42"/>
      <c r="F17" s="65"/>
      <c r="G17" s="77"/>
      <c r="H17" s="66"/>
      <c r="I17" s="67"/>
      <c r="J17" s="67"/>
      <c r="K17" s="67"/>
      <c r="L17" s="67"/>
      <c r="M17" s="67"/>
      <c r="N17" s="67"/>
      <c r="O17" s="68"/>
      <c r="Q17" s="69"/>
    </row>
    <row r="18" spans="2:17" s="47" customFormat="1" ht="30" customHeight="1">
      <c r="B18" s="54">
        <v>4</v>
      </c>
      <c r="C18" s="54"/>
      <c r="D18" s="55" t="e">
        <f>물량!#REF!</f>
        <v>#REF!</v>
      </c>
      <c r="E18" s="42"/>
      <c r="F18" s="65"/>
      <c r="G18" s="77"/>
      <c r="H18" s="66"/>
      <c r="I18" s="67"/>
      <c r="J18" s="67"/>
      <c r="K18" s="67"/>
      <c r="L18" s="67"/>
      <c r="M18" s="67"/>
      <c r="N18" s="60" t="e">
        <f>SUM(N19:N25)</f>
        <v>#REF!</v>
      </c>
      <c r="O18" s="68"/>
      <c r="Q18" s="69"/>
    </row>
    <row r="19" spans="2:17" s="47" customFormat="1" ht="30" customHeight="1">
      <c r="B19" s="54"/>
      <c r="C19" s="63" t="e">
        <f>물량!#REF!</f>
        <v>#REF!</v>
      </c>
      <c r="D19" s="64" t="e">
        <f>물량!#REF!</f>
        <v>#REF!</v>
      </c>
      <c r="E19" s="42" t="e">
        <f>물량!#REF!</f>
        <v>#REF!</v>
      </c>
      <c r="F19" s="65" t="e">
        <f>물량!#REF!</f>
        <v>#REF!</v>
      </c>
      <c r="G19" s="77" t="e">
        <f>물량!#REF!</f>
        <v>#REF!</v>
      </c>
      <c r="H19" s="66" t="e">
        <f>#REF!</f>
        <v>#REF!</v>
      </c>
      <c r="I19" s="67" t="e">
        <f t="shared" ref="I19:I24" si="0">+ROUNDDOWN($G19*H19,)</f>
        <v>#REF!</v>
      </c>
      <c r="J19" s="67"/>
      <c r="K19" s="67"/>
      <c r="L19" s="67"/>
      <c r="M19" s="67"/>
      <c r="N19" s="67" t="e">
        <f t="shared" ref="N19:N25" si="1">+M19+K19+I19</f>
        <v>#REF!</v>
      </c>
      <c r="O19" s="68"/>
      <c r="Q19" s="69"/>
    </row>
    <row r="20" spans="2:17" s="47" customFormat="1" ht="30" customHeight="1">
      <c r="B20" s="54"/>
      <c r="C20" s="63" t="e">
        <f>물량!#REF!</f>
        <v>#REF!</v>
      </c>
      <c r="D20" s="64" t="e">
        <f>물량!#REF!</f>
        <v>#REF!</v>
      </c>
      <c r="E20" s="42" t="e">
        <f>물량!#REF!</f>
        <v>#REF!</v>
      </c>
      <c r="F20" s="65" t="e">
        <f>물량!#REF!</f>
        <v>#REF!</v>
      </c>
      <c r="G20" s="77" t="e">
        <f>물량!#REF!</f>
        <v>#REF!</v>
      </c>
      <c r="H20" s="66" t="e">
        <f>#REF!</f>
        <v>#REF!</v>
      </c>
      <c r="I20" s="67" t="e">
        <f t="shared" si="0"/>
        <v>#REF!</v>
      </c>
      <c r="J20" s="67"/>
      <c r="K20" s="67"/>
      <c r="L20" s="67"/>
      <c r="M20" s="67"/>
      <c r="N20" s="67" t="e">
        <f t="shared" si="1"/>
        <v>#REF!</v>
      </c>
      <c r="O20" s="68"/>
      <c r="Q20" s="69"/>
    </row>
    <row r="21" spans="2:17" s="47" customFormat="1" ht="30" customHeight="1">
      <c r="B21" s="54"/>
      <c r="C21" s="63" t="e">
        <f>물량!#REF!</f>
        <v>#REF!</v>
      </c>
      <c r="D21" s="64" t="e">
        <f>물량!#REF!</f>
        <v>#REF!</v>
      </c>
      <c r="E21" s="42" t="e">
        <f>물량!#REF!</f>
        <v>#REF!</v>
      </c>
      <c r="F21" s="65" t="e">
        <f>물량!#REF!</f>
        <v>#REF!</v>
      </c>
      <c r="G21" s="77" t="e">
        <f>물량!#REF!</f>
        <v>#REF!</v>
      </c>
      <c r="H21" s="66" t="e">
        <f>#REF!</f>
        <v>#REF!</v>
      </c>
      <c r="I21" s="67" t="e">
        <f t="shared" si="0"/>
        <v>#REF!</v>
      </c>
      <c r="J21" s="67"/>
      <c r="K21" s="67"/>
      <c r="L21" s="67"/>
      <c r="M21" s="67"/>
      <c r="N21" s="67" t="e">
        <f t="shared" si="1"/>
        <v>#REF!</v>
      </c>
      <c r="O21" s="68"/>
      <c r="Q21" s="69"/>
    </row>
    <row r="22" spans="2:17" s="47" customFormat="1" ht="30" customHeight="1">
      <c r="B22" s="63"/>
      <c r="C22" s="63" t="e">
        <f>물량!#REF!</f>
        <v>#REF!</v>
      </c>
      <c r="D22" s="64" t="e">
        <f>물량!#REF!</f>
        <v>#REF!</v>
      </c>
      <c r="E22" s="42" t="e">
        <f>물량!#REF!</f>
        <v>#REF!</v>
      </c>
      <c r="F22" s="65" t="e">
        <f>물량!#REF!</f>
        <v>#REF!</v>
      </c>
      <c r="G22" s="77" t="e">
        <f>물량!#REF!</f>
        <v>#REF!</v>
      </c>
      <c r="H22" s="66" t="e">
        <f>#REF!</f>
        <v>#REF!</v>
      </c>
      <c r="I22" s="67" t="e">
        <f t="shared" si="0"/>
        <v>#REF!</v>
      </c>
      <c r="J22" s="67"/>
      <c r="K22" s="67" t="e">
        <f>+ROUNDDOWN($G22*J22,)</f>
        <v>#REF!</v>
      </c>
      <c r="L22" s="67"/>
      <c r="M22" s="67"/>
      <c r="N22" s="67" t="e">
        <f t="shared" si="1"/>
        <v>#REF!</v>
      </c>
      <c r="O22" s="68"/>
      <c r="Q22" s="69"/>
    </row>
    <row r="23" spans="2:17" s="47" customFormat="1" ht="30" customHeight="1">
      <c r="B23" s="63"/>
      <c r="C23" s="63" t="e">
        <f>물량!#REF!</f>
        <v>#REF!</v>
      </c>
      <c r="D23" s="64" t="e">
        <f>물량!#REF!</f>
        <v>#REF!</v>
      </c>
      <c r="E23" s="42" t="e">
        <f>물량!#REF!</f>
        <v>#REF!</v>
      </c>
      <c r="F23" s="65" t="e">
        <f>물량!#REF!</f>
        <v>#REF!</v>
      </c>
      <c r="G23" s="77" t="e">
        <f>물량!#REF!</f>
        <v>#REF!</v>
      </c>
      <c r="H23" s="66" t="e">
        <f>#REF!</f>
        <v>#REF!</v>
      </c>
      <c r="I23" s="67" t="e">
        <f t="shared" si="0"/>
        <v>#REF!</v>
      </c>
      <c r="J23" s="67"/>
      <c r="K23" s="67" t="e">
        <f>+ROUNDDOWN($G23*J23,)</f>
        <v>#REF!</v>
      </c>
      <c r="L23" s="67"/>
      <c r="M23" s="67"/>
      <c r="N23" s="67" t="e">
        <f t="shared" si="1"/>
        <v>#REF!</v>
      </c>
      <c r="O23" s="68"/>
      <c r="Q23" s="69"/>
    </row>
    <row r="24" spans="2:17" s="47" customFormat="1" ht="30" customHeight="1">
      <c r="B24" s="63"/>
      <c r="C24" s="63" t="e">
        <f>물량!#REF!</f>
        <v>#REF!</v>
      </c>
      <c r="D24" s="64" t="e">
        <f>물량!#REF!</f>
        <v>#REF!</v>
      </c>
      <c r="E24" s="42" t="e">
        <f>물량!#REF!</f>
        <v>#REF!</v>
      </c>
      <c r="F24" s="65" t="e">
        <f>물량!#REF!</f>
        <v>#REF!</v>
      </c>
      <c r="G24" s="77" t="e">
        <f>물량!#REF!</f>
        <v>#REF!</v>
      </c>
      <c r="H24" s="66" t="e">
        <f>#REF!</f>
        <v>#REF!</v>
      </c>
      <c r="I24" s="67" t="e">
        <f t="shared" si="0"/>
        <v>#REF!</v>
      </c>
      <c r="J24" s="67"/>
      <c r="K24" s="67" t="e">
        <f>+ROUNDDOWN($G24*J24,)</f>
        <v>#REF!</v>
      </c>
      <c r="L24" s="67"/>
      <c r="M24" s="67"/>
      <c r="N24" s="67" t="e">
        <f t="shared" si="1"/>
        <v>#REF!</v>
      </c>
      <c r="O24" s="68"/>
      <c r="Q24" s="69"/>
    </row>
    <row r="25" spans="2:17" s="47" customFormat="1" ht="30" customHeight="1">
      <c r="B25" s="63"/>
      <c r="C25" s="63">
        <v>7</v>
      </c>
      <c r="D25" s="64" t="s">
        <v>158</v>
      </c>
      <c r="E25" s="42"/>
      <c r="F25" s="65" t="s">
        <v>79</v>
      </c>
      <c r="G25" s="77" t="e">
        <f>일위대가222!E28</f>
        <v>#REF!</v>
      </c>
      <c r="H25" s="66"/>
      <c r="I25" s="67"/>
      <c r="J25" s="67" t="e">
        <f>일위대가222!H28</f>
        <v>#REF!</v>
      </c>
      <c r="K25" s="67" t="e">
        <f>+ROUNDDOWN($G25*J25,)</f>
        <v>#REF!</v>
      </c>
      <c r="L25" s="67"/>
      <c r="M25" s="67"/>
      <c r="N25" s="67" t="e">
        <f t="shared" si="1"/>
        <v>#REF!</v>
      </c>
      <c r="O25" s="68"/>
      <c r="Q25" s="69"/>
    </row>
    <row r="26" spans="2:17" s="47" customFormat="1" ht="30" customHeight="1">
      <c r="B26" s="63"/>
      <c r="C26" s="63"/>
      <c r="D26" s="64"/>
      <c r="E26" s="42"/>
      <c r="F26" s="65"/>
      <c r="G26" s="77"/>
      <c r="H26" s="66"/>
      <c r="I26" s="67"/>
      <c r="J26" s="67"/>
      <c r="K26" s="67"/>
      <c r="L26" s="67"/>
      <c r="M26" s="67"/>
      <c r="N26" s="67"/>
      <c r="O26" s="68"/>
      <c r="Q26" s="69"/>
    </row>
    <row r="27" spans="2:17" s="47" customFormat="1" ht="30" customHeight="1">
      <c r="B27" s="54">
        <v>5</v>
      </c>
      <c r="C27" s="54"/>
      <c r="D27" s="55" t="e">
        <f>물량!#REF!</f>
        <v>#REF!</v>
      </c>
      <c r="E27" s="42"/>
      <c r="F27" s="65"/>
      <c r="G27" s="77"/>
      <c r="H27" s="66"/>
      <c r="I27" s="67"/>
      <c r="J27" s="67"/>
      <c r="K27" s="67"/>
      <c r="L27" s="67"/>
      <c r="M27" s="67"/>
      <c r="N27" s="60" t="e">
        <f>SUM(N28:N31)</f>
        <v>#REF!</v>
      </c>
      <c r="O27" s="68"/>
      <c r="Q27" s="69"/>
    </row>
    <row r="28" spans="2:17" s="47" customFormat="1" ht="30" customHeight="1">
      <c r="B28" s="63"/>
      <c r="C28" s="63">
        <v>1</v>
      </c>
      <c r="D28" s="64" t="e">
        <f>물량!#REF!</f>
        <v>#REF!</v>
      </c>
      <c r="E28" s="64" t="e">
        <f>물량!#REF!</f>
        <v>#REF!</v>
      </c>
      <c r="F28" s="73" t="e">
        <f>물량!#REF!</f>
        <v>#REF!</v>
      </c>
      <c r="G28" s="77" t="e">
        <f>물량!#REF!</f>
        <v>#REF!</v>
      </c>
      <c r="H28" s="66" t="e">
        <f>#REF!</f>
        <v>#REF!</v>
      </c>
      <c r="I28" s="67" t="e">
        <f>+ROUNDDOWN($G28*H28,)</f>
        <v>#REF!</v>
      </c>
      <c r="J28" s="67"/>
      <c r="K28" s="67" t="e">
        <f>+ROUNDDOWN($G28*J28,)</f>
        <v>#REF!</v>
      </c>
      <c r="L28" s="67"/>
      <c r="M28" s="67"/>
      <c r="N28" s="67" t="e">
        <f>+M28+K28+I28</f>
        <v>#REF!</v>
      </c>
      <c r="O28" s="68"/>
      <c r="Q28" s="69"/>
    </row>
    <row r="29" spans="2:17" s="47" customFormat="1" ht="30" customHeight="1">
      <c r="B29" s="63"/>
      <c r="C29" s="63">
        <v>2</v>
      </c>
      <c r="D29" s="64" t="e">
        <f>물량!#REF!</f>
        <v>#REF!</v>
      </c>
      <c r="E29" s="64" t="e">
        <f>물량!#REF!</f>
        <v>#REF!</v>
      </c>
      <c r="F29" s="73" t="e">
        <f>물량!#REF!</f>
        <v>#REF!</v>
      </c>
      <c r="G29" s="77" t="e">
        <f>물량!#REF!</f>
        <v>#REF!</v>
      </c>
      <c r="H29" s="66" t="e">
        <f>#REF!</f>
        <v>#REF!</v>
      </c>
      <c r="I29" s="67" t="e">
        <f>+ROUNDDOWN($G29*H29,)</f>
        <v>#REF!</v>
      </c>
      <c r="J29" s="67"/>
      <c r="K29" s="67" t="e">
        <f>+ROUNDDOWN($G29*J29,)</f>
        <v>#REF!</v>
      </c>
      <c r="L29" s="67"/>
      <c r="M29" s="67"/>
      <c r="N29" s="67" t="e">
        <f>+M29+K29+I29</f>
        <v>#REF!</v>
      </c>
      <c r="O29" s="68"/>
      <c r="Q29" s="69"/>
    </row>
    <row r="30" spans="2:17" s="47" customFormat="1" ht="30" customHeight="1">
      <c r="B30" s="63"/>
      <c r="C30" s="63">
        <v>3</v>
      </c>
      <c r="D30" s="64" t="e">
        <f>물량!#REF!</f>
        <v>#REF!</v>
      </c>
      <c r="E30" s="64" t="e">
        <f>물량!#REF!</f>
        <v>#REF!</v>
      </c>
      <c r="F30" s="73" t="e">
        <f>물량!#REF!</f>
        <v>#REF!</v>
      </c>
      <c r="G30" s="77" t="e">
        <f>물량!#REF!</f>
        <v>#REF!</v>
      </c>
      <c r="H30" s="66" t="e">
        <f>#REF!</f>
        <v>#REF!</v>
      </c>
      <c r="I30" s="67" t="e">
        <f>+ROUNDDOWN($G30*H30,)</f>
        <v>#REF!</v>
      </c>
      <c r="J30" s="67"/>
      <c r="K30" s="67" t="e">
        <f>+ROUNDDOWN($G30*J30,)</f>
        <v>#REF!</v>
      </c>
      <c r="L30" s="67"/>
      <c r="M30" s="67"/>
      <c r="N30" s="67" t="e">
        <f>+M30+K30+I30</f>
        <v>#REF!</v>
      </c>
      <c r="O30" s="68"/>
      <c r="Q30" s="69"/>
    </row>
    <row r="31" spans="2:17" s="47" customFormat="1" ht="30" customHeight="1">
      <c r="B31" s="63"/>
      <c r="C31" s="63">
        <v>4</v>
      </c>
      <c r="D31" s="64" t="s">
        <v>157</v>
      </c>
      <c r="E31" s="64"/>
      <c r="F31" s="73" t="s">
        <v>125</v>
      </c>
      <c r="G31" s="77" t="e">
        <f>일위대가222!E33</f>
        <v>#REF!</v>
      </c>
      <c r="H31" s="66"/>
      <c r="I31" s="67"/>
      <c r="J31" s="67" t="e">
        <f>일위대가222!H33</f>
        <v>#REF!</v>
      </c>
      <c r="K31" s="67" t="e">
        <f>+ROUNDDOWN($G31*J31,)</f>
        <v>#REF!</v>
      </c>
      <c r="L31" s="67"/>
      <c r="M31" s="67"/>
      <c r="N31" s="67" t="e">
        <f>+M31+K31+I31</f>
        <v>#REF!</v>
      </c>
      <c r="O31" s="68"/>
      <c r="Q31" s="69"/>
    </row>
    <row r="32" spans="2:17" s="47" customFormat="1" ht="30" customHeight="1">
      <c r="B32" s="63"/>
      <c r="C32" s="63"/>
      <c r="D32" s="64"/>
      <c r="E32" s="64"/>
      <c r="F32" s="73"/>
      <c r="G32" s="77"/>
      <c r="H32" s="66"/>
      <c r="I32" s="67"/>
      <c r="J32" s="67"/>
      <c r="K32" s="67"/>
      <c r="L32" s="67"/>
      <c r="M32" s="67"/>
      <c r="N32" s="67"/>
      <c r="O32" s="68"/>
      <c r="Q32" s="69"/>
    </row>
    <row r="33" spans="2:17" s="47" customFormat="1" ht="30" customHeight="1">
      <c r="B33" s="54">
        <v>6</v>
      </c>
      <c r="C33" s="54"/>
      <c r="D33" s="55" t="e">
        <f>물량!#REF!</f>
        <v>#REF!</v>
      </c>
      <c r="E33" s="56"/>
      <c r="F33" s="57"/>
      <c r="G33" s="58"/>
      <c r="H33" s="71" t="e">
        <f>#REF!</f>
        <v>#REF!</v>
      </c>
      <c r="I33" s="72" t="e">
        <f>+ROUNDDOWN($G33*H33,)</f>
        <v>#REF!</v>
      </c>
      <c r="J33" s="72"/>
      <c r="K33" s="72">
        <f t="shared" ref="K33:K38" si="2">+ROUNDDOWN($G33*J33,)</f>
        <v>0</v>
      </c>
      <c r="L33" s="72"/>
      <c r="M33" s="72">
        <f>+ROUNDDOWN($G33*L33,)</f>
        <v>0</v>
      </c>
      <c r="N33" s="60" t="e">
        <f>SUM(N34:N38)</f>
        <v>#REF!</v>
      </c>
      <c r="O33" s="68"/>
      <c r="Q33" s="69"/>
    </row>
    <row r="34" spans="2:17" s="47" customFormat="1" ht="30" customHeight="1">
      <c r="B34" s="63" t="e">
        <f>물량!#REF!</f>
        <v>#REF!</v>
      </c>
      <c r="C34" s="63">
        <v>1</v>
      </c>
      <c r="D34" s="64" t="e">
        <f>물량!#REF!</f>
        <v>#REF!</v>
      </c>
      <c r="E34" s="64" t="e">
        <f>물량!#REF!</f>
        <v>#REF!</v>
      </c>
      <c r="F34" s="73" t="s">
        <v>130</v>
      </c>
      <c r="G34" s="77" t="e">
        <f>물량!#REF!</f>
        <v>#REF!</v>
      </c>
      <c r="H34" s="66" t="e">
        <f>#REF!</f>
        <v>#REF!</v>
      </c>
      <c r="I34" s="67" t="e">
        <f>G34*H34</f>
        <v>#REF!</v>
      </c>
      <c r="J34" s="67" t="e">
        <f>일위대가222!H45</f>
        <v>#REF!</v>
      </c>
      <c r="K34" s="67" t="e">
        <f>+ROUNDDOWN($G34*J34,)</f>
        <v>#REF!</v>
      </c>
      <c r="L34" s="67"/>
      <c r="M34" s="67" t="e">
        <f>+ROUNDDOWN($G34*L34,)</f>
        <v>#REF!</v>
      </c>
      <c r="N34" s="67" t="e">
        <f>+M34+K34+I34</f>
        <v>#REF!</v>
      </c>
      <c r="O34" s="68"/>
      <c r="Q34" s="69"/>
    </row>
    <row r="35" spans="2:17" s="47" customFormat="1" ht="30" customHeight="1">
      <c r="B35" s="63"/>
      <c r="C35" s="63">
        <v>2</v>
      </c>
      <c r="D35" s="64" t="s">
        <v>126</v>
      </c>
      <c r="E35" s="64"/>
      <c r="F35" s="74" t="str">
        <f>일위대가222!D37</f>
        <v>㎡</v>
      </c>
      <c r="G35" s="135">
        <f>일위대가222!E37</f>
        <v>6.4</v>
      </c>
      <c r="H35" s="66" t="e">
        <f>일위대가222!F37</f>
        <v>#REF!</v>
      </c>
      <c r="I35" s="67" t="e">
        <f>G35*H35</f>
        <v>#REF!</v>
      </c>
      <c r="J35" s="67" t="e">
        <f>일위대가222!H37</f>
        <v>#REF!</v>
      </c>
      <c r="K35" s="67" t="e">
        <f t="shared" si="2"/>
        <v>#REF!</v>
      </c>
      <c r="L35" s="67"/>
      <c r="M35" s="67"/>
      <c r="N35" s="67" t="e">
        <f>+M35+K35+I35</f>
        <v>#REF!</v>
      </c>
      <c r="O35" s="68"/>
      <c r="Q35" s="69"/>
    </row>
    <row r="36" spans="2:17" s="47" customFormat="1" ht="30" customHeight="1">
      <c r="B36" s="63"/>
      <c r="C36" s="63">
        <v>3</v>
      </c>
      <c r="D36" s="64" t="s">
        <v>137</v>
      </c>
      <c r="E36" s="64"/>
      <c r="F36" s="74" t="str">
        <f>일위대가222!D48</f>
        <v>㎥</v>
      </c>
      <c r="G36" s="135" t="e">
        <f>일위대가222!E48</f>
        <v>#REF!</v>
      </c>
      <c r="H36" s="66"/>
      <c r="I36" s="67"/>
      <c r="J36" s="67" t="e">
        <f>일위대가222!H48</f>
        <v>#REF!</v>
      </c>
      <c r="K36" s="67" t="e">
        <f t="shared" si="2"/>
        <v>#REF!</v>
      </c>
      <c r="L36" s="67"/>
      <c r="M36" s="67"/>
      <c r="N36" s="67" t="e">
        <f>+M36+K36+I36</f>
        <v>#REF!</v>
      </c>
      <c r="O36" s="68"/>
      <c r="Q36" s="69"/>
    </row>
    <row r="37" spans="2:17" s="47" customFormat="1" ht="30" customHeight="1">
      <c r="B37" s="63"/>
      <c r="C37" s="63">
        <v>4</v>
      </c>
      <c r="D37" s="64" t="s">
        <v>138</v>
      </c>
      <c r="E37" s="64"/>
      <c r="F37" s="74" t="str">
        <f>일위대가222!D52</f>
        <v>㎥</v>
      </c>
      <c r="G37" s="135" t="e">
        <f>일위대가222!E52</f>
        <v>#REF!</v>
      </c>
      <c r="H37" s="66" t="e">
        <f>일위대가222!F52</f>
        <v>#REF!</v>
      </c>
      <c r="I37" s="67" t="e">
        <f>G37*H37</f>
        <v>#REF!</v>
      </c>
      <c r="J37" s="67" t="e">
        <f>일위대가222!H52</f>
        <v>#REF!</v>
      </c>
      <c r="K37" s="67" t="e">
        <f t="shared" si="2"/>
        <v>#REF!</v>
      </c>
      <c r="L37" s="67" t="e">
        <f>일위대가222!J52</f>
        <v>#REF!</v>
      </c>
      <c r="M37" s="67" t="e">
        <f>+ROUNDDOWN($G37*L37,)</f>
        <v>#REF!</v>
      </c>
      <c r="N37" s="67" t="e">
        <f>+M37+K37+I37</f>
        <v>#REF!</v>
      </c>
      <c r="O37" s="68"/>
      <c r="Q37" s="69"/>
    </row>
    <row r="38" spans="2:17" s="47" customFormat="1" ht="30" customHeight="1">
      <c r="B38" s="63"/>
      <c r="C38" s="63">
        <v>5</v>
      </c>
      <c r="D38" s="64" t="s">
        <v>139</v>
      </c>
      <c r="E38" s="64" t="s">
        <v>140</v>
      </c>
      <c r="F38" s="74" t="str">
        <f>일위대가222!D58</f>
        <v>㎡</v>
      </c>
      <c r="G38" s="77">
        <f>일위대가222!E58</f>
        <v>19.8</v>
      </c>
      <c r="H38" s="66">
        <f>일위대가222!F58</f>
        <v>29833.949999999997</v>
      </c>
      <c r="I38" s="67">
        <f>G38*H38</f>
        <v>590712.21</v>
      </c>
      <c r="J38" s="67" t="e">
        <f>일위대가222!H58</f>
        <v>#REF!</v>
      </c>
      <c r="K38" s="67" t="e">
        <f t="shared" si="2"/>
        <v>#REF!</v>
      </c>
      <c r="L38" s="67"/>
      <c r="M38" s="67"/>
      <c r="N38" s="67" t="e">
        <f>+M38+K38+I38</f>
        <v>#REF!</v>
      </c>
      <c r="O38" s="68"/>
      <c r="Q38" s="69"/>
    </row>
    <row r="39" spans="2:17" s="47" customFormat="1" ht="30" customHeight="1">
      <c r="B39" s="63"/>
      <c r="C39" s="63"/>
      <c r="D39" s="64"/>
      <c r="E39" s="64"/>
      <c r="F39" s="74"/>
      <c r="G39" s="77"/>
      <c r="H39" s="66"/>
      <c r="I39" s="67"/>
      <c r="J39" s="67"/>
      <c r="K39" s="67"/>
      <c r="L39" s="67"/>
      <c r="M39" s="67"/>
      <c r="N39" s="67"/>
      <c r="O39" s="68"/>
      <c r="Q39" s="69"/>
    </row>
    <row r="40" spans="2:17" s="47" customFormat="1" ht="30" customHeight="1">
      <c r="B40" s="54">
        <v>7</v>
      </c>
      <c r="C40" s="54"/>
      <c r="D40" s="75" t="e">
        <f>물량!#REF!</f>
        <v>#REF!</v>
      </c>
      <c r="E40" s="56"/>
      <c r="F40" s="57"/>
      <c r="G40" s="58"/>
      <c r="H40" s="71" t="e">
        <f>#REF!</f>
        <v>#REF!</v>
      </c>
      <c r="I40" s="72" t="e">
        <f>+ROUNDDOWN($G40*H40,)</f>
        <v>#REF!</v>
      </c>
      <c r="J40" s="72"/>
      <c r="K40" s="72">
        <f>+ROUNDDOWN($G40*J40,)</f>
        <v>0</v>
      </c>
      <c r="L40" s="72"/>
      <c r="M40" s="72">
        <f>+ROUNDDOWN($G40*L40,)</f>
        <v>0</v>
      </c>
      <c r="N40" s="60" t="e">
        <f>SUM(N41:N45)</f>
        <v>#REF!</v>
      </c>
      <c r="O40" s="68"/>
      <c r="Q40" s="69"/>
    </row>
    <row r="41" spans="2:17" s="47" customFormat="1" ht="30" customHeight="1">
      <c r="B41" s="63"/>
      <c r="C41" s="63">
        <v>1</v>
      </c>
      <c r="D41" s="64" t="e">
        <f>물량!#REF!</f>
        <v>#REF!</v>
      </c>
      <c r="E41" s="76" t="e">
        <f>물량!#REF!</f>
        <v>#REF!</v>
      </c>
      <c r="F41" s="74" t="e">
        <f>물량!#REF!</f>
        <v>#REF!</v>
      </c>
      <c r="G41" s="135" t="e">
        <f>물량!#REF!</f>
        <v>#REF!</v>
      </c>
      <c r="H41" s="66" t="e">
        <f>#REF!</f>
        <v>#REF!</v>
      </c>
      <c r="I41" s="67" t="e">
        <f>G41*H41</f>
        <v>#REF!</v>
      </c>
      <c r="J41" s="67"/>
      <c r="K41" s="67"/>
      <c r="L41" s="67"/>
      <c r="M41" s="67"/>
      <c r="N41" s="67" t="e">
        <f>+M41+K41+I41</f>
        <v>#REF!</v>
      </c>
      <c r="O41" s="68"/>
      <c r="Q41" s="69"/>
    </row>
    <row r="42" spans="2:17" s="47" customFormat="1" ht="30" customHeight="1">
      <c r="B42" s="63"/>
      <c r="C42" s="63">
        <v>2</v>
      </c>
      <c r="D42" s="64" t="s">
        <v>171</v>
      </c>
      <c r="E42" s="64"/>
      <c r="F42" s="74" t="e">
        <f>일위대가222!D68</f>
        <v>#REF!</v>
      </c>
      <c r="G42" s="135" t="e">
        <f>일위대가222!E68</f>
        <v>#REF!</v>
      </c>
      <c r="H42" s="66"/>
      <c r="I42" s="67"/>
      <c r="J42" s="67" t="e">
        <f>일위대가222!H68</f>
        <v>#REF!</v>
      </c>
      <c r="K42" s="67" t="e">
        <f>+ROUNDDOWN($G42*J42,)</f>
        <v>#REF!</v>
      </c>
      <c r="L42" s="67"/>
      <c r="M42" s="67"/>
      <c r="N42" s="67" t="e">
        <f>+M42+K42+I42</f>
        <v>#REF!</v>
      </c>
      <c r="O42" s="68"/>
      <c r="Q42" s="69"/>
    </row>
    <row r="43" spans="2:17" s="47" customFormat="1" ht="30" customHeight="1">
      <c r="B43" s="63"/>
      <c r="C43" s="63">
        <v>3</v>
      </c>
      <c r="D43" s="64" t="s">
        <v>172</v>
      </c>
      <c r="E43" s="64"/>
      <c r="F43" s="74" t="e">
        <f>일위대가222!D71</f>
        <v>#REF!</v>
      </c>
      <c r="G43" s="135" t="e">
        <f>일위대가222!E71</f>
        <v>#REF!</v>
      </c>
      <c r="H43" s="66"/>
      <c r="I43" s="67"/>
      <c r="J43" s="67" t="e">
        <f>일위대가222!H71</f>
        <v>#REF!</v>
      </c>
      <c r="K43" s="67" t="e">
        <f>+ROUNDDOWN($G43*J43,)</f>
        <v>#REF!</v>
      </c>
      <c r="L43" s="67"/>
      <c r="M43" s="67"/>
      <c r="N43" s="67" t="e">
        <f>+M43+K43+I43</f>
        <v>#REF!</v>
      </c>
      <c r="O43" s="68"/>
      <c r="Q43" s="69"/>
    </row>
    <row r="44" spans="2:17" s="47" customFormat="1" ht="30" customHeight="1">
      <c r="B44" s="63"/>
      <c r="C44" s="63">
        <v>4</v>
      </c>
      <c r="D44" s="64" t="s">
        <v>176</v>
      </c>
      <c r="E44" s="64"/>
      <c r="F44" s="74" t="str">
        <f>일위대가222!D76</f>
        <v>개소</v>
      </c>
      <c r="G44" s="77" t="e">
        <f>일위대가222!E76</f>
        <v>#REF!</v>
      </c>
      <c r="H44" s="66"/>
      <c r="I44" s="67"/>
      <c r="J44" s="67" t="e">
        <f>일위대가222!H76</f>
        <v>#REF!</v>
      </c>
      <c r="K44" s="67" t="e">
        <f>+ROUNDDOWN($G44*J44,)</f>
        <v>#REF!</v>
      </c>
      <c r="L44" s="67"/>
      <c r="M44" s="67"/>
      <c r="N44" s="67" t="e">
        <f>+M44+K44+I44</f>
        <v>#REF!</v>
      </c>
      <c r="O44" s="68"/>
      <c r="Q44" s="69"/>
    </row>
    <row r="45" spans="2:17" s="47" customFormat="1" ht="30" customHeight="1">
      <c r="B45" s="63"/>
      <c r="C45" s="63"/>
      <c r="D45" s="64"/>
      <c r="E45" s="64"/>
      <c r="F45" s="74"/>
      <c r="G45" s="77"/>
      <c r="H45" s="66"/>
      <c r="I45" s="67"/>
      <c r="J45" s="67"/>
      <c r="K45" s="67"/>
      <c r="L45" s="67"/>
      <c r="M45" s="67"/>
      <c r="N45" s="67"/>
      <c r="O45" s="68"/>
      <c r="Q45" s="69"/>
    </row>
    <row r="46" spans="2:17" s="47" customFormat="1" ht="30" customHeight="1">
      <c r="B46" s="78"/>
      <c r="C46" s="78"/>
      <c r="D46" s="79" t="s">
        <v>82</v>
      </c>
      <c r="E46" s="80"/>
      <c r="F46" s="81"/>
      <c r="G46" s="82"/>
      <c r="H46" s="83"/>
      <c r="I46" s="84" t="e">
        <f>SUM(I7:I45)</f>
        <v>#REF!</v>
      </c>
      <c r="J46" s="84"/>
      <c r="K46" s="84" t="e">
        <f>SUM(K7:K45)</f>
        <v>#REF!</v>
      </c>
      <c r="L46" s="84"/>
      <c r="M46" s="84" t="e">
        <f>SUM(M7:M45)</f>
        <v>#REF!</v>
      </c>
      <c r="N46" s="84" t="e">
        <f>N7+N11+N14+N18+N27+N33+N40</f>
        <v>#REF!</v>
      </c>
      <c r="O46" s="85"/>
      <c r="Q46" s="69"/>
    </row>
    <row r="47" spans="2:17" s="47" customFormat="1" ht="30" customHeight="1">
      <c r="B47" s="63"/>
      <c r="C47" s="63"/>
      <c r="D47" s="64"/>
      <c r="E47" s="42"/>
      <c r="F47" s="65"/>
      <c r="G47" s="77"/>
      <c r="H47" s="66"/>
      <c r="I47" s="67"/>
      <c r="J47" s="67"/>
      <c r="K47" s="67"/>
      <c r="L47" s="67"/>
      <c r="M47" s="67"/>
      <c r="N47" s="67"/>
      <c r="O47" s="68"/>
      <c r="Q47" s="69"/>
    </row>
  </sheetData>
  <mergeCells count="11">
    <mergeCell ref="B5:C6"/>
    <mergeCell ref="B2:O2"/>
    <mergeCell ref="O5:O6"/>
    <mergeCell ref="N5:N6"/>
    <mergeCell ref="H5:I5"/>
    <mergeCell ref="J5:K5"/>
    <mergeCell ref="L5:M5"/>
    <mergeCell ref="E5:E6"/>
    <mergeCell ref="F5:F6"/>
    <mergeCell ref="G5:G6"/>
    <mergeCell ref="D5:D6"/>
  </mergeCells>
  <phoneticPr fontId="17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scale="43" fitToHeight="100" orientation="landscape" r:id="rId1"/>
  <headerFooter alignWithMargins="0"/>
  <ignoredErrors>
    <ignoredError sqref="L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  <pageSetUpPr fitToPage="1"/>
  </sheetPr>
  <dimension ref="B1:AC81"/>
  <sheetViews>
    <sheetView showZeros="0" zoomScaleNormal="100" zoomScaleSheetLayoutView="90" workbookViewId="0">
      <pane xSplit="5" ySplit="6" topLeftCell="F27" activePane="bottomRight" state="frozen"/>
      <selection activeCell="D39" sqref="D39"/>
      <selection pane="topRight" activeCell="D39" sqref="D39"/>
      <selection pane="bottomLeft" activeCell="D39" sqref="D39"/>
      <selection pane="bottomRight" activeCell="D39" sqref="D39"/>
    </sheetView>
  </sheetViews>
  <sheetFormatPr defaultColWidth="8" defaultRowHeight="17.25" customHeight="1"/>
  <cols>
    <col min="1" max="1" width="8" style="92"/>
    <col min="2" max="2" width="26.109375" style="133" customWidth="1"/>
    <col min="3" max="3" width="19.5546875" style="86" customWidth="1"/>
    <col min="4" max="4" width="5.33203125" style="87" bestFit="1" customWidth="1"/>
    <col min="5" max="5" width="6.6640625" style="88" bestFit="1" customWidth="1"/>
    <col min="6" max="6" width="10.88671875" style="89" customWidth="1"/>
    <col min="7" max="11" width="10.88671875" style="90" customWidth="1"/>
    <col min="12" max="12" width="13.21875" style="90" bestFit="1" customWidth="1"/>
    <col min="13" max="13" width="28.88671875" style="91" bestFit="1" customWidth="1"/>
    <col min="14" max="14" width="8" style="92"/>
    <col min="15" max="15" width="21" style="92" bestFit="1" customWidth="1"/>
    <col min="16" max="16" width="16.109375" style="92" bestFit="1" customWidth="1"/>
    <col min="17" max="17" width="18.109375" style="92" bestFit="1" customWidth="1"/>
    <col min="18" max="19" width="11.21875" style="92" bestFit="1" customWidth="1"/>
    <col min="20" max="20" width="15.109375" style="92" bestFit="1" customWidth="1"/>
    <col min="21" max="16384" width="8" style="92"/>
  </cols>
  <sheetData>
    <row r="1" spans="2:17" ht="20.25" customHeight="1">
      <c r="B1" s="1" t="s">
        <v>75</v>
      </c>
    </row>
    <row r="2" spans="2:17" ht="26.25">
      <c r="B2" s="295" t="s">
        <v>73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2:17" ht="20.2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17" ht="20.2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72</v>
      </c>
    </row>
    <row r="5" spans="2:17" s="97" customFormat="1" ht="24.95" customHeight="1">
      <c r="B5" s="266" t="s">
        <v>10</v>
      </c>
      <c r="C5" s="267" t="s">
        <v>0</v>
      </c>
      <c r="D5" s="266" t="s">
        <v>2</v>
      </c>
      <c r="E5" s="297" t="s">
        <v>1</v>
      </c>
      <c r="F5" s="95" t="s">
        <v>3</v>
      </c>
      <c r="G5" s="96"/>
      <c r="H5" s="96" t="s">
        <v>4</v>
      </c>
      <c r="I5" s="96"/>
      <c r="J5" s="96" t="s">
        <v>5</v>
      </c>
      <c r="K5" s="96"/>
      <c r="L5" s="266" t="s">
        <v>11</v>
      </c>
      <c r="M5" s="294" t="s">
        <v>6</v>
      </c>
    </row>
    <row r="6" spans="2:17" s="97" customFormat="1" ht="24.95" customHeight="1">
      <c r="B6" s="266"/>
      <c r="C6" s="267"/>
      <c r="D6" s="266"/>
      <c r="E6" s="297"/>
      <c r="F6" s="53" t="s">
        <v>7</v>
      </c>
      <c r="G6" s="54" t="s">
        <v>8</v>
      </c>
      <c r="H6" s="54" t="s">
        <v>7</v>
      </c>
      <c r="I6" s="54" t="s">
        <v>8</v>
      </c>
      <c r="J6" s="54" t="s">
        <v>7</v>
      </c>
      <c r="K6" s="54" t="s">
        <v>8</v>
      </c>
      <c r="L6" s="266"/>
      <c r="M6" s="294"/>
    </row>
    <row r="7" spans="2:17" s="97" customFormat="1" ht="24.95" customHeight="1">
      <c r="B7" s="98" t="s">
        <v>152</v>
      </c>
      <c r="C7" s="68"/>
      <c r="D7" s="63"/>
      <c r="E7" s="99"/>
      <c r="F7" s="100"/>
      <c r="G7" s="63"/>
      <c r="H7" s="63"/>
      <c r="I7" s="63"/>
      <c r="J7" s="63"/>
      <c r="K7" s="63"/>
      <c r="L7" s="54" t="e">
        <f>L8+L13</f>
        <v>#REF!</v>
      </c>
      <c r="M7" s="101"/>
    </row>
    <row r="8" spans="2:17" s="97" customFormat="1" ht="57">
      <c r="B8" s="102" t="s">
        <v>151</v>
      </c>
      <c r="C8" s="103" t="str">
        <f>물량!E8</f>
        <v>압출성형, Honeycomb타입
촉매조성: TiO2/WO3/V2O5</v>
      </c>
      <c r="D8" s="63" t="str">
        <f>물량!F8</f>
        <v>개</v>
      </c>
      <c r="E8" s="99">
        <v>10</v>
      </c>
      <c r="F8" s="100" t="e">
        <f>G8/E8</f>
        <v>#REF!</v>
      </c>
      <c r="G8" s="104" t="e">
        <f>SUM(G9:G11)</f>
        <v>#REF!</v>
      </c>
      <c r="H8" s="105" t="e">
        <f>I8/E8</f>
        <v>#REF!</v>
      </c>
      <c r="I8" s="104" t="e">
        <f>SUM(I9:I11)</f>
        <v>#REF!</v>
      </c>
      <c r="J8" s="63"/>
      <c r="K8" s="63"/>
      <c r="L8" s="104" t="e">
        <f>SUM(L9:L11)</f>
        <v>#REF!</v>
      </c>
      <c r="M8" s="106" t="s">
        <v>156</v>
      </c>
    </row>
    <row r="9" spans="2:17" s="97" customFormat="1" ht="24.95" customHeight="1">
      <c r="B9" s="102" t="s">
        <v>148</v>
      </c>
      <c r="C9" s="68"/>
      <c r="D9" s="63" t="s">
        <v>81</v>
      </c>
      <c r="E9" s="43">
        <f>E8*N9*1.5</f>
        <v>11.49</v>
      </c>
      <c r="F9" s="100"/>
      <c r="G9" s="63"/>
      <c r="H9" s="104" t="e">
        <f>VLOOKUP(B9,#REF!,2,FALSE)</f>
        <v>#REF!</v>
      </c>
      <c r="I9" s="104" t="e">
        <f>ROUNDDOWN($E9*H9,)</f>
        <v>#REF!</v>
      </c>
      <c r="J9" s="63"/>
      <c r="K9" s="63"/>
      <c r="L9" s="104" t="e">
        <f>SUM(G9,I9,K9)</f>
        <v>#REF!</v>
      </c>
      <c r="M9" s="101"/>
      <c r="N9" s="107">
        <v>0.76600000000000001</v>
      </c>
      <c r="O9" s="108" t="s">
        <v>87</v>
      </c>
    </row>
    <row r="10" spans="2:17" s="97" customFormat="1" ht="24.95" customHeight="1">
      <c r="B10" s="102" t="s">
        <v>80</v>
      </c>
      <c r="C10" s="68"/>
      <c r="D10" s="63" t="s">
        <v>81</v>
      </c>
      <c r="E10" s="100">
        <f>E9*N10*1.5</f>
        <v>4.3776900000000003</v>
      </c>
      <c r="F10" s="100"/>
      <c r="G10" s="63"/>
      <c r="H10" s="104" t="e">
        <f>VLOOKUP(B10,#REF!,2,FALSE)</f>
        <v>#REF!</v>
      </c>
      <c r="I10" s="104" t="e">
        <f>ROUNDDOWN($E10*H10,)</f>
        <v>#REF!</v>
      </c>
      <c r="J10" s="63"/>
      <c r="K10" s="63"/>
      <c r="L10" s="104" t="e">
        <f>SUM(G10,I10,K10)</f>
        <v>#REF!</v>
      </c>
      <c r="M10" s="101"/>
      <c r="N10" s="107">
        <v>0.254</v>
      </c>
      <c r="O10" s="107"/>
    </row>
    <row r="11" spans="2:17" s="97" customFormat="1" ht="24.95" customHeight="1">
      <c r="B11" s="102" t="s">
        <v>89</v>
      </c>
      <c r="C11" s="68" t="s">
        <v>149</v>
      </c>
      <c r="D11" s="63" t="s">
        <v>91</v>
      </c>
      <c r="E11" s="99">
        <v>1</v>
      </c>
      <c r="F11" s="100" t="e">
        <f>I8*N11</f>
        <v>#REF!</v>
      </c>
      <c r="G11" s="63" t="e">
        <f>E11*F11</f>
        <v>#REF!</v>
      </c>
      <c r="H11" s="63"/>
      <c r="I11" s="63"/>
      <c r="J11" s="63"/>
      <c r="K11" s="63"/>
      <c r="L11" s="104" t="e">
        <f>SUM(G11,I11,K11)</f>
        <v>#REF!</v>
      </c>
      <c r="M11" s="101"/>
      <c r="N11" s="107">
        <v>0.03</v>
      </c>
      <c r="O11" s="107"/>
      <c r="P11" s="107"/>
      <c r="Q11" s="107"/>
    </row>
    <row r="12" spans="2:17" s="97" customFormat="1" ht="24.95" customHeight="1">
      <c r="B12" s="102"/>
      <c r="C12" s="68"/>
      <c r="D12" s="63"/>
      <c r="E12" s="99"/>
      <c r="F12" s="100"/>
      <c r="G12" s="63"/>
      <c r="H12" s="63"/>
      <c r="I12" s="63"/>
      <c r="J12" s="63"/>
      <c r="K12" s="63"/>
      <c r="L12" s="63"/>
      <c r="M12" s="101"/>
      <c r="N12" s="107"/>
      <c r="O12" s="107"/>
      <c r="P12" s="107"/>
      <c r="Q12" s="107"/>
    </row>
    <row r="13" spans="2:17" s="97" customFormat="1" ht="24.95" customHeight="1">
      <c r="B13" s="102" t="s">
        <v>164</v>
      </c>
      <c r="C13" s="103" t="str">
        <f>물량!E12</f>
        <v>압출성형, Honeycomb타입
촉매조성: TiO2/WO3/V2O5</v>
      </c>
      <c r="D13" s="63" t="s">
        <v>165</v>
      </c>
      <c r="E13" s="99">
        <f>(30*3)/1000</f>
        <v>0.09</v>
      </c>
      <c r="F13" s="100"/>
      <c r="G13" s="63"/>
      <c r="H13" s="63" t="e">
        <f>I13/E13</f>
        <v>#REF!</v>
      </c>
      <c r="I13" s="104" t="e">
        <f>SUM(I14:I19)</f>
        <v>#REF!</v>
      </c>
      <c r="J13" s="63"/>
      <c r="K13" s="63"/>
      <c r="L13" s="104" t="e">
        <f>SUM(L14:L19)</f>
        <v>#REF!</v>
      </c>
      <c r="M13" s="106" t="s">
        <v>161</v>
      </c>
      <c r="N13" s="107"/>
      <c r="O13" s="108" t="s">
        <v>166</v>
      </c>
      <c r="P13" s="107"/>
      <c r="Q13" s="107"/>
    </row>
    <row r="14" spans="2:17" s="97" customFormat="1" ht="24.95" customHeight="1">
      <c r="B14" s="102" t="s">
        <v>162</v>
      </c>
      <c r="C14" s="68" t="s">
        <v>169</v>
      </c>
      <c r="D14" s="63" t="s">
        <v>81</v>
      </c>
      <c r="E14" s="100">
        <f>E13*N14*(1+O14)</f>
        <v>9.9000000000000005E-2</v>
      </c>
      <c r="F14" s="100"/>
      <c r="G14" s="63"/>
      <c r="H14" s="104" t="e">
        <f>VLOOKUP(B14,#REF!,2,FALSE)</f>
        <v>#REF!</v>
      </c>
      <c r="I14" s="104" t="e">
        <f t="shared" ref="I14:I19" si="0">ROUNDDOWN($E14*H14,)</f>
        <v>#REF!</v>
      </c>
      <c r="J14" s="63"/>
      <c r="K14" s="63"/>
      <c r="L14" s="104" t="e">
        <f t="shared" ref="L14:L19" si="1">SUM(G14,I14,K14)</f>
        <v>#REF!</v>
      </c>
      <c r="M14" s="101"/>
      <c r="N14" s="107">
        <v>0.5</v>
      </c>
      <c r="O14" s="107">
        <f>0.5+0.5+0.2</f>
        <v>1.2</v>
      </c>
      <c r="P14" s="107"/>
      <c r="Q14" s="107"/>
    </row>
    <row r="15" spans="2:17" s="97" customFormat="1" ht="24.95" customHeight="1">
      <c r="B15" s="102" t="s">
        <v>148</v>
      </c>
      <c r="C15" s="68"/>
      <c r="D15" s="63" t="s">
        <v>81</v>
      </c>
      <c r="E15" s="100">
        <f>E13*N15*(1+O15)</f>
        <v>1.4335200000000001</v>
      </c>
      <c r="F15" s="100"/>
      <c r="G15" s="63"/>
      <c r="H15" s="104" t="e">
        <f>VLOOKUP(B15,#REF!,2,FALSE)</f>
        <v>#REF!</v>
      </c>
      <c r="I15" s="104" t="e">
        <f t="shared" si="0"/>
        <v>#REF!</v>
      </c>
      <c r="J15" s="63"/>
      <c r="K15" s="63"/>
      <c r="L15" s="104" t="e">
        <f t="shared" si="1"/>
        <v>#REF!</v>
      </c>
      <c r="M15" s="101"/>
      <c r="N15" s="107">
        <v>7.24</v>
      </c>
      <c r="O15" s="107">
        <f>0.5+0.5+0.2</f>
        <v>1.2</v>
      </c>
      <c r="P15" s="107"/>
      <c r="Q15" s="107"/>
    </row>
    <row r="16" spans="2:17" s="97" customFormat="1" ht="24.95" customHeight="1">
      <c r="B16" s="102" t="s">
        <v>88</v>
      </c>
      <c r="C16" s="68"/>
      <c r="D16" s="63" t="s">
        <v>81</v>
      </c>
      <c r="E16" s="100">
        <f>E13*N16*(1+O16)</f>
        <v>0.56628000000000001</v>
      </c>
      <c r="F16" s="104"/>
      <c r="G16" s="104"/>
      <c r="H16" s="104" t="e">
        <f>VLOOKUP(B16,#REF!,2,FALSE)</f>
        <v>#REF!</v>
      </c>
      <c r="I16" s="104" t="e">
        <f t="shared" si="0"/>
        <v>#REF!</v>
      </c>
      <c r="J16" s="104"/>
      <c r="K16" s="104"/>
      <c r="L16" s="104" t="e">
        <f t="shared" si="1"/>
        <v>#REF!</v>
      </c>
      <c r="M16" s="101"/>
      <c r="N16" s="107">
        <v>2.86</v>
      </c>
      <c r="O16" s="107">
        <f>0.5+0.5+0.2</f>
        <v>1.2</v>
      </c>
      <c r="P16" s="107"/>
      <c r="Q16" s="107"/>
    </row>
    <row r="17" spans="2:17" s="97" customFormat="1" ht="24.95" customHeight="1">
      <c r="B17" s="102" t="s">
        <v>163</v>
      </c>
      <c r="C17" s="109"/>
      <c r="D17" s="110" t="s">
        <v>81</v>
      </c>
      <c r="E17" s="100">
        <f>E13*N17*(1+O17)</f>
        <v>0.18809999999999999</v>
      </c>
      <c r="F17" s="104"/>
      <c r="G17" s="104"/>
      <c r="H17" s="104" t="e">
        <f>VLOOKUP(B17,#REF!,2,FALSE)</f>
        <v>#REF!</v>
      </c>
      <c r="I17" s="104" t="e">
        <f t="shared" si="0"/>
        <v>#REF!</v>
      </c>
      <c r="J17" s="104"/>
      <c r="K17" s="104"/>
      <c r="L17" s="104" t="e">
        <f t="shared" si="1"/>
        <v>#REF!</v>
      </c>
      <c r="M17" s="106"/>
      <c r="N17" s="107">
        <v>0.95</v>
      </c>
      <c r="O17" s="107">
        <f>0.5+0.5+0.2</f>
        <v>1.2</v>
      </c>
      <c r="P17" s="107"/>
      <c r="Q17" s="107"/>
    </row>
    <row r="18" spans="2:17" s="97" customFormat="1" ht="24.95" customHeight="1">
      <c r="B18" s="102" t="s">
        <v>144</v>
      </c>
      <c r="C18" s="109"/>
      <c r="D18" s="110" t="s">
        <v>81</v>
      </c>
      <c r="E18" s="100">
        <f>E13*N18*(1+O18)</f>
        <v>0.7722</v>
      </c>
      <c r="F18" s="104"/>
      <c r="G18" s="104"/>
      <c r="H18" s="104" t="e">
        <f>VLOOKUP(B18,#REF!,2,FALSE)</f>
        <v>#REF!</v>
      </c>
      <c r="I18" s="104" t="e">
        <f t="shared" si="0"/>
        <v>#REF!</v>
      </c>
      <c r="J18" s="104"/>
      <c r="K18" s="104"/>
      <c r="L18" s="104" t="e">
        <f t="shared" si="1"/>
        <v>#REF!</v>
      </c>
      <c r="M18" s="101"/>
      <c r="N18" s="107">
        <v>3.9</v>
      </c>
      <c r="O18" s="107">
        <f>0.5+0.5+0.2</f>
        <v>1.2</v>
      </c>
      <c r="P18" s="107"/>
      <c r="Q18" s="107"/>
    </row>
    <row r="19" spans="2:17" s="97" customFormat="1" ht="24.95" customHeight="1">
      <c r="B19" s="102" t="s">
        <v>167</v>
      </c>
      <c r="C19" s="111" t="s">
        <v>168</v>
      </c>
      <c r="D19" s="110" t="s">
        <v>91</v>
      </c>
      <c r="E19" s="100">
        <v>1</v>
      </c>
      <c r="F19" s="104"/>
      <c r="G19" s="104"/>
      <c r="H19" s="104" t="e">
        <f>SUM(I15:I18)*10%</f>
        <v>#REF!</v>
      </c>
      <c r="I19" s="104" t="e">
        <f t="shared" si="0"/>
        <v>#REF!</v>
      </c>
      <c r="J19" s="104"/>
      <c r="K19" s="104"/>
      <c r="L19" s="104" t="e">
        <f t="shared" si="1"/>
        <v>#REF!</v>
      </c>
      <c r="M19" s="101"/>
      <c r="N19" s="107"/>
      <c r="O19" s="107"/>
      <c r="P19" s="107"/>
      <c r="Q19" s="107"/>
    </row>
    <row r="20" spans="2:17" s="97" customFormat="1" ht="24.95" customHeight="1">
      <c r="B20" s="102"/>
      <c r="C20" s="112"/>
      <c r="D20" s="110"/>
      <c r="E20" s="113"/>
      <c r="F20" s="104"/>
      <c r="G20" s="104"/>
      <c r="H20" s="104"/>
      <c r="I20" s="104"/>
      <c r="J20" s="104"/>
      <c r="K20" s="104"/>
      <c r="L20" s="104"/>
      <c r="M20" s="101"/>
      <c r="N20" s="107"/>
      <c r="O20" s="107"/>
      <c r="P20" s="107"/>
      <c r="Q20" s="107"/>
    </row>
    <row r="21" spans="2:17" ht="27.95" customHeight="1">
      <c r="B21" s="98" t="s">
        <v>160</v>
      </c>
      <c r="C21" s="109"/>
      <c r="D21" s="110"/>
      <c r="E21" s="114"/>
      <c r="F21" s="104"/>
      <c r="G21" s="104"/>
      <c r="H21" s="115"/>
      <c r="I21" s="104"/>
      <c r="J21" s="104"/>
      <c r="K21" s="104"/>
      <c r="L21" s="116" t="e">
        <f>L22</f>
        <v>#REF!</v>
      </c>
      <c r="M21" s="106" t="s">
        <v>101</v>
      </c>
    </row>
    <row r="22" spans="2:17" ht="27.95" customHeight="1">
      <c r="B22" s="102" t="s">
        <v>150</v>
      </c>
      <c r="C22" s="109"/>
      <c r="D22" s="110" t="s">
        <v>90</v>
      </c>
      <c r="E22" s="113">
        <f>6*8*3</f>
        <v>144</v>
      </c>
      <c r="F22" s="104" t="e">
        <f>G22/E22</f>
        <v>#REF!</v>
      </c>
      <c r="G22" s="104" t="e">
        <f>SUM(G23:G25)</f>
        <v>#REF!</v>
      </c>
      <c r="H22" s="115" t="e">
        <f>I22/E22</f>
        <v>#REF!</v>
      </c>
      <c r="I22" s="104" t="e">
        <f>SUM(I23:I25)</f>
        <v>#REF!</v>
      </c>
      <c r="J22" s="104"/>
      <c r="K22" s="104"/>
      <c r="L22" s="104" t="e">
        <f>SUM(L23:L25)</f>
        <v>#REF!</v>
      </c>
      <c r="M22" s="117"/>
    </row>
    <row r="23" spans="2:17" ht="27.95" customHeight="1">
      <c r="B23" s="102" t="s">
        <v>88</v>
      </c>
      <c r="C23" s="109"/>
      <c r="D23" s="110" t="s">
        <v>9</v>
      </c>
      <c r="E23" s="113">
        <f>E22*N23</f>
        <v>7.2</v>
      </c>
      <c r="F23" s="104"/>
      <c r="G23" s="104">
        <f>ROUNDDOWN($E23*F23,1)</f>
        <v>0</v>
      </c>
      <c r="H23" s="104" t="e">
        <f>VLOOKUP(B23,#REF!,2,FALSE)</f>
        <v>#REF!</v>
      </c>
      <c r="I23" s="104" t="e">
        <f>ROUNDDOWN($E23*H23,)</f>
        <v>#REF!</v>
      </c>
      <c r="J23" s="104"/>
      <c r="K23" s="104">
        <f>ROUNDDOWN($E23*J23,1)</f>
        <v>0</v>
      </c>
      <c r="L23" s="104" t="e">
        <f>SUM(G23,I23,K23)</f>
        <v>#REF!</v>
      </c>
      <c r="M23" s="117"/>
      <c r="N23" s="92">
        <v>0.05</v>
      </c>
    </row>
    <row r="24" spans="2:17" ht="27.95" customHeight="1">
      <c r="B24" s="102" t="s">
        <v>80</v>
      </c>
      <c r="C24" s="109"/>
      <c r="D24" s="110" t="s">
        <v>9</v>
      </c>
      <c r="E24" s="113">
        <f>E22*N24</f>
        <v>2.88</v>
      </c>
      <c r="F24" s="104"/>
      <c r="G24" s="104">
        <f>ROUNDDOWN($E24*F24,1)</f>
        <v>0</v>
      </c>
      <c r="H24" s="104" t="e">
        <f>VLOOKUP(B24,#REF!,2,FALSE)</f>
        <v>#REF!</v>
      </c>
      <c r="I24" s="104" t="e">
        <f>ROUNDDOWN($E24*H24,)</f>
        <v>#REF!</v>
      </c>
      <c r="J24" s="104"/>
      <c r="K24" s="104">
        <f>ROUNDDOWN($E24*J24,1)</f>
        <v>0</v>
      </c>
      <c r="L24" s="104" t="e">
        <f>SUM(G24,I24,K24)</f>
        <v>#REF!</v>
      </c>
      <c r="M24" s="117"/>
      <c r="N24" s="92">
        <v>0.02</v>
      </c>
    </row>
    <row r="25" spans="2:17" ht="27.95" customHeight="1">
      <c r="B25" s="102" t="s">
        <v>89</v>
      </c>
      <c r="C25" s="108" t="s">
        <v>121</v>
      </c>
      <c r="D25" s="110" t="s">
        <v>91</v>
      </c>
      <c r="E25" s="113">
        <v>1</v>
      </c>
      <c r="F25" s="104" t="e">
        <f>ROUNDDOWN((L23+L24)*N25,)</f>
        <v>#REF!</v>
      </c>
      <c r="G25" s="104" t="e">
        <f>ROUNDDOWN($E25*F25,1)</f>
        <v>#REF!</v>
      </c>
      <c r="H25" s="104"/>
      <c r="I25" s="104"/>
      <c r="J25" s="104"/>
      <c r="K25" s="104">
        <f>ROUNDDOWN($E25*J25,1)</f>
        <v>0</v>
      </c>
      <c r="L25" s="104" t="e">
        <f>SUM(G25,I25,K25)</f>
        <v>#REF!</v>
      </c>
      <c r="M25" s="117"/>
      <c r="N25" s="92">
        <v>0.02</v>
      </c>
    </row>
    <row r="26" spans="2:17" ht="27.95" customHeight="1">
      <c r="B26" s="102"/>
      <c r="C26" s="109"/>
      <c r="D26" s="110"/>
      <c r="E26" s="114"/>
      <c r="F26" s="104"/>
      <c r="G26" s="104"/>
      <c r="H26" s="104"/>
      <c r="I26" s="104"/>
      <c r="J26" s="104"/>
      <c r="K26" s="104"/>
      <c r="L26" s="104"/>
      <c r="M26" s="117"/>
    </row>
    <row r="27" spans="2:17" ht="27.95" customHeight="1">
      <c r="B27" s="98" t="s">
        <v>178</v>
      </c>
      <c r="C27" s="118"/>
      <c r="D27" s="119"/>
      <c r="E27" s="120"/>
      <c r="F27" s="116"/>
      <c r="G27" s="116"/>
      <c r="H27" s="116"/>
      <c r="I27" s="116"/>
      <c r="J27" s="116"/>
      <c r="K27" s="116"/>
      <c r="L27" s="116" t="e">
        <f>L28</f>
        <v>#REF!</v>
      </c>
      <c r="M27" s="121" t="s">
        <v>102</v>
      </c>
    </row>
    <row r="28" spans="2:17" ht="27.95" customHeight="1">
      <c r="B28" s="102" t="s">
        <v>153</v>
      </c>
      <c r="C28" s="109"/>
      <c r="D28" s="122" t="s">
        <v>86</v>
      </c>
      <c r="E28" s="123" t="e">
        <f>물량!#REF!*6</f>
        <v>#REF!</v>
      </c>
      <c r="F28" s="44"/>
      <c r="G28" s="104"/>
      <c r="H28" s="104" t="e">
        <f>I28/E28</f>
        <v>#REF!</v>
      </c>
      <c r="I28" s="104" t="e">
        <f>SUM(I29:I30)</f>
        <v>#REF!</v>
      </c>
      <c r="J28" s="104"/>
      <c r="K28" s="104"/>
      <c r="L28" s="104" t="e">
        <f>SUM(L29:L30)</f>
        <v>#REF!</v>
      </c>
      <c r="M28" s="117"/>
    </row>
    <row r="29" spans="2:17" ht="27.95" customHeight="1">
      <c r="B29" s="102" t="s">
        <v>85</v>
      </c>
      <c r="C29" s="109"/>
      <c r="D29" s="110" t="s">
        <v>81</v>
      </c>
      <c r="E29" s="113" t="e">
        <f>E28*N29*1.5</f>
        <v>#REF!</v>
      </c>
      <c r="F29" s="44"/>
      <c r="G29" s="104"/>
      <c r="H29" s="104" t="e">
        <f>VLOOKUP(B29,#REF!,2,FALSE)</f>
        <v>#REF!</v>
      </c>
      <c r="I29" s="104" t="e">
        <f>ROUNDDOWN($E29*H29,)</f>
        <v>#REF!</v>
      </c>
      <c r="J29" s="104"/>
      <c r="K29" s="104"/>
      <c r="L29" s="104" t="e">
        <f>SUM(G29,I29,K29)</f>
        <v>#REF!</v>
      </c>
      <c r="M29" s="117"/>
      <c r="N29" s="92">
        <v>3.7999999999999999E-2</v>
      </c>
      <c r="O29" s="108" t="s">
        <v>87</v>
      </c>
    </row>
    <row r="30" spans="2:17" ht="27.95" customHeight="1">
      <c r="B30" s="102" t="s">
        <v>80</v>
      </c>
      <c r="C30" s="109"/>
      <c r="D30" s="110" t="s">
        <v>81</v>
      </c>
      <c r="E30" s="113" t="e">
        <f>E28*N30*1.5</f>
        <v>#REF!</v>
      </c>
      <c r="F30" s="104"/>
      <c r="G30" s="104"/>
      <c r="H30" s="104" t="e">
        <f>VLOOKUP(B30,#REF!,2,FALSE)</f>
        <v>#REF!</v>
      </c>
      <c r="I30" s="104" t="e">
        <f>ROUNDDOWN($E30*H30,)</f>
        <v>#REF!</v>
      </c>
      <c r="J30" s="104"/>
      <c r="K30" s="104"/>
      <c r="L30" s="104" t="e">
        <f>SUM(G30,I30,K30)</f>
        <v>#REF!</v>
      </c>
      <c r="M30" s="117"/>
      <c r="N30" s="92">
        <v>1.4999999999999999E-2</v>
      </c>
      <c r="O30" s="108"/>
    </row>
    <row r="31" spans="2:17" ht="27.95" customHeight="1">
      <c r="B31" s="102"/>
      <c r="C31" s="109"/>
      <c r="D31" s="110"/>
      <c r="E31" s="113"/>
      <c r="F31" s="104"/>
      <c r="G31" s="104"/>
      <c r="H31" s="104"/>
      <c r="I31" s="104"/>
      <c r="J31" s="104"/>
      <c r="K31" s="104"/>
      <c r="L31" s="104"/>
      <c r="M31" s="117"/>
      <c r="O31" s="108"/>
    </row>
    <row r="32" spans="2:17" ht="27.95" customHeight="1">
      <c r="B32" s="98" t="s">
        <v>179</v>
      </c>
      <c r="C32" s="118"/>
      <c r="D32" s="119"/>
      <c r="E32" s="120"/>
      <c r="F32" s="116"/>
      <c r="G32" s="116"/>
      <c r="H32" s="116"/>
      <c r="I32" s="116"/>
      <c r="J32" s="116"/>
      <c r="K32" s="116"/>
      <c r="L32" s="116" t="e">
        <f>L33</f>
        <v>#REF!</v>
      </c>
      <c r="M32" s="121" t="s">
        <v>103</v>
      </c>
      <c r="O32" s="108"/>
    </row>
    <row r="33" spans="2:29" ht="27.95" customHeight="1">
      <c r="B33" s="102" t="s">
        <v>154</v>
      </c>
      <c r="C33" s="109"/>
      <c r="D33" s="122" t="s">
        <v>83</v>
      </c>
      <c r="E33" s="123" t="e">
        <f>물량!#REF!</f>
        <v>#REF!</v>
      </c>
      <c r="F33" s="44"/>
      <c r="G33" s="104"/>
      <c r="H33" s="104" t="e">
        <f>I33/E33</f>
        <v>#REF!</v>
      </c>
      <c r="I33" s="104" t="e">
        <f>I34</f>
        <v>#REF!</v>
      </c>
      <c r="J33" s="104"/>
      <c r="K33" s="104"/>
      <c r="L33" s="104" t="e">
        <f>SUM(L34:L34)</f>
        <v>#REF!</v>
      </c>
      <c r="M33" s="117"/>
      <c r="O33" s="108"/>
    </row>
    <row r="34" spans="2:29" ht="27.95" customHeight="1">
      <c r="B34" s="102" t="s">
        <v>85</v>
      </c>
      <c r="C34" s="109"/>
      <c r="D34" s="110" t="s">
        <v>81</v>
      </c>
      <c r="E34" s="113" t="e">
        <f>E33*N34*1.5</f>
        <v>#REF!</v>
      </c>
      <c r="F34" s="44"/>
      <c r="G34" s="104"/>
      <c r="H34" s="104" t="e">
        <f>VLOOKUP(B34,#REF!,2,FALSE)</f>
        <v>#REF!</v>
      </c>
      <c r="I34" s="104" t="e">
        <f>ROUNDDOWN($E34*H34,)</f>
        <v>#REF!</v>
      </c>
      <c r="J34" s="104"/>
      <c r="K34" s="104"/>
      <c r="L34" s="104" t="e">
        <f>SUM(G34,I34,K34)</f>
        <v>#REF!</v>
      </c>
      <c r="M34" s="117"/>
      <c r="N34" s="92">
        <v>0.05</v>
      </c>
      <c r="O34" s="108" t="s">
        <v>87</v>
      </c>
    </row>
    <row r="35" spans="2:29" ht="27.95" customHeight="1">
      <c r="B35" s="102"/>
      <c r="C35" s="109"/>
      <c r="D35" s="110"/>
      <c r="E35" s="113"/>
      <c r="F35" s="44"/>
      <c r="G35" s="104"/>
      <c r="H35" s="104"/>
      <c r="I35" s="104"/>
      <c r="J35" s="104"/>
      <c r="K35" s="104"/>
      <c r="L35" s="104"/>
      <c r="M35" s="117"/>
      <c r="O35" s="108"/>
    </row>
    <row r="36" spans="2:29" ht="27.95" customHeight="1">
      <c r="B36" s="98" t="s">
        <v>180</v>
      </c>
      <c r="C36" s="109"/>
      <c r="D36" s="110"/>
      <c r="E36" s="114"/>
      <c r="F36" s="104"/>
      <c r="G36" s="104"/>
      <c r="H36" s="115"/>
      <c r="I36" s="104"/>
      <c r="J36" s="104"/>
      <c r="K36" s="104"/>
      <c r="L36" s="116" t="e">
        <f>L37+L45+L48+L52+L58</f>
        <v>#REF!</v>
      </c>
      <c r="M36" s="106" t="s">
        <v>104</v>
      </c>
      <c r="O36" s="108"/>
    </row>
    <row r="37" spans="2:29" ht="27.95" customHeight="1">
      <c r="B37" s="102" t="s">
        <v>98</v>
      </c>
      <c r="C37" s="109"/>
      <c r="D37" s="110" t="s">
        <v>90</v>
      </c>
      <c r="E37" s="124">
        <f>(6*0.4*2+2*0.4*2)</f>
        <v>6.4</v>
      </c>
      <c r="F37" s="104" t="e">
        <f>G37/E37</f>
        <v>#REF!</v>
      </c>
      <c r="G37" s="104" t="e">
        <f>SUM(G38:G43)</f>
        <v>#REF!</v>
      </c>
      <c r="H37" s="115" t="e">
        <f>I37/E37</f>
        <v>#REF!</v>
      </c>
      <c r="I37" s="104" t="e">
        <f>SUM(I38:I43)</f>
        <v>#REF!</v>
      </c>
      <c r="J37" s="104"/>
      <c r="K37" s="104"/>
      <c r="L37" s="104" t="e">
        <f>SUM(L38:L43)</f>
        <v>#REF!</v>
      </c>
      <c r="M37" s="117"/>
      <c r="O37" s="108"/>
    </row>
    <row r="38" spans="2:29" ht="27.95" customHeight="1">
      <c r="B38" s="102" t="s">
        <v>92</v>
      </c>
      <c r="C38" s="109"/>
      <c r="D38" s="110" t="s">
        <v>90</v>
      </c>
      <c r="E38" s="124">
        <f>E37</f>
        <v>6.4</v>
      </c>
      <c r="F38" s="104">
        <v>10313</v>
      </c>
      <c r="G38" s="104">
        <f>ROUNDDOWN(E38*F38*N38,)</f>
        <v>67983</v>
      </c>
      <c r="H38" s="104"/>
      <c r="I38" s="104">
        <f>ROUNDDOWN($E38*H38,1)</f>
        <v>0</v>
      </c>
      <c r="J38" s="104"/>
      <c r="K38" s="104">
        <f>ROUNDDOWN($E38*J38,1)</f>
        <v>0</v>
      </c>
      <c r="L38" s="104">
        <f t="shared" ref="L38:L43" si="2">SUM(G38,I38,K38)</f>
        <v>67983</v>
      </c>
      <c r="M38" s="117"/>
      <c r="N38" s="92">
        <v>1.03</v>
      </c>
      <c r="O38" s="108"/>
    </row>
    <row r="39" spans="2:29" ht="27.95" customHeight="1">
      <c r="B39" s="102" t="s">
        <v>93</v>
      </c>
      <c r="C39" s="109"/>
      <c r="D39" s="110" t="s">
        <v>90</v>
      </c>
      <c r="E39" s="124">
        <f>E37</f>
        <v>6.4</v>
      </c>
      <c r="F39" s="104">
        <v>835326</v>
      </c>
      <c r="G39" s="104">
        <f>ROUNDDOWN(E39*F39*N39,)</f>
        <v>203151</v>
      </c>
      <c r="H39" s="104"/>
      <c r="I39" s="104">
        <f>ROUNDDOWN($E39*H39,1)</f>
        <v>0</v>
      </c>
      <c r="J39" s="104"/>
      <c r="K39" s="104">
        <f>ROUNDDOWN($E39*J39,1)</f>
        <v>0</v>
      </c>
      <c r="L39" s="104">
        <f t="shared" si="2"/>
        <v>203151</v>
      </c>
      <c r="M39" s="117"/>
      <c r="N39" s="92">
        <v>3.7999999999999999E-2</v>
      </c>
      <c r="O39" s="108"/>
    </row>
    <row r="40" spans="2:29" ht="27.95" customHeight="1">
      <c r="B40" s="102" t="s">
        <v>94</v>
      </c>
      <c r="C40" s="112" t="s">
        <v>96</v>
      </c>
      <c r="D40" s="110" t="s">
        <v>91</v>
      </c>
      <c r="E40" s="113">
        <v>1</v>
      </c>
      <c r="F40" s="104">
        <f>ROUNDDOWN((L38+L39)*N40,)</f>
        <v>1084</v>
      </c>
      <c r="G40" s="104">
        <f>ROUNDDOWN($E40*F40,1)</f>
        <v>1084</v>
      </c>
      <c r="H40" s="104"/>
      <c r="I40" s="104"/>
      <c r="J40" s="104"/>
      <c r="K40" s="104">
        <f>ROUNDDOWN($E40*J40,1)</f>
        <v>0</v>
      </c>
      <c r="L40" s="104">
        <f t="shared" si="2"/>
        <v>1084</v>
      </c>
      <c r="M40" s="117"/>
      <c r="N40" s="92">
        <v>4.0000000000000001E-3</v>
      </c>
      <c r="O40" s="108" t="s">
        <v>96</v>
      </c>
    </row>
    <row r="41" spans="2:29" ht="27.95" customHeight="1">
      <c r="B41" s="102" t="s">
        <v>89</v>
      </c>
      <c r="C41" s="112" t="s">
        <v>97</v>
      </c>
      <c r="D41" s="110" t="s">
        <v>91</v>
      </c>
      <c r="E41" s="113">
        <v>1</v>
      </c>
      <c r="F41" s="104" t="e">
        <f>ROUNDDOWN((I42+I43)*N41,)</f>
        <v>#REF!</v>
      </c>
      <c r="G41" s="104" t="e">
        <f>E41*F41</f>
        <v>#REF!</v>
      </c>
      <c r="H41" s="104"/>
      <c r="I41" s="104"/>
      <c r="J41" s="104"/>
      <c r="K41" s="104"/>
      <c r="L41" s="104" t="e">
        <f t="shared" si="2"/>
        <v>#REF!</v>
      </c>
      <c r="M41" s="117"/>
      <c r="N41" s="92">
        <v>1E-3</v>
      </c>
      <c r="O41" s="108" t="s">
        <v>97</v>
      </c>
    </row>
    <row r="42" spans="2:29" ht="27.95" customHeight="1">
      <c r="B42" s="102" t="s">
        <v>95</v>
      </c>
      <c r="C42" s="109"/>
      <c r="D42" s="110" t="s">
        <v>81</v>
      </c>
      <c r="E42" s="113">
        <f>E37*N42</f>
        <v>1.4720000000000002</v>
      </c>
      <c r="F42" s="104"/>
      <c r="G42" s="104"/>
      <c r="H42" s="104" t="e">
        <f>VLOOKUP(B42,#REF!,2,FALSE)</f>
        <v>#REF!</v>
      </c>
      <c r="I42" s="104" t="e">
        <f>ROUNDDOWN($E42*H42,)</f>
        <v>#REF!</v>
      </c>
      <c r="J42" s="104"/>
      <c r="K42" s="104"/>
      <c r="L42" s="104" t="e">
        <f t="shared" si="2"/>
        <v>#REF!</v>
      </c>
      <c r="M42" s="117"/>
      <c r="N42" s="92">
        <v>0.23</v>
      </c>
      <c r="O42" s="108"/>
    </row>
    <row r="43" spans="2:29" ht="27.95" customHeight="1">
      <c r="B43" s="102" t="s">
        <v>80</v>
      </c>
      <c r="C43" s="109"/>
      <c r="D43" s="110" t="s">
        <v>81</v>
      </c>
      <c r="E43" s="113">
        <f>E37*N43</f>
        <v>0.89600000000000013</v>
      </c>
      <c r="F43" s="104"/>
      <c r="G43" s="104"/>
      <c r="H43" s="104" t="e">
        <f>VLOOKUP(B43,#REF!,2,FALSE)</f>
        <v>#REF!</v>
      </c>
      <c r="I43" s="104" t="e">
        <f>ROUNDDOWN($E43*H43,)</f>
        <v>#REF!</v>
      </c>
      <c r="J43" s="104"/>
      <c r="K43" s="104"/>
      <c r="L43" s="104" t="e">
        <f t="shared" si="2"/>
        <v>#REF!</v>
      </c>
      <c r="M43" s="117"/>
      <c r="N43" s="92">
        <v>0.14000000000000001</v>
      </c>
      <c r="O43" s="108"/>
    </row>
    <row r="44" spans="2:29" ht="27.95" customHeight="1">
      <c r="B44" s="102"/>
      <c r="C44" s="109"/>
      <c r="D44" s="110"/>
      <c r="E44" s="125"/>
      <c r="F44" s="104"/>
      <c r="G44" s="104"/>
      <c r="H44" s="104"/>
      <c r="I44" s="104"/>
      <c r="J44" s="104"/>
      <c r="K44" s="104"/>
      <c r="L44" s="104"/>
      <c r="M44" s="117"/>
      <c r="O44" s="108"/>
    </row>
    <row r="45" spans="2:29" ht="27.95" customHeight="1">
      <c r="B45" s="102" t="s">
        <v>136</v>
      </c>
      <c r="C45" s="109"/>
      <c r="D45" s="110" t="s">
        <v>123</v>
      </c>
      <c r="E45" s="113" t="e">
        <f>물량!#REF!</f>
        <v>#REF!</v>
      </c>
      <c r="F45" s="104"/>
      <c r="G45" s="104"/>
      <c r="H45" s="104" t="e">
        <f>I45/E45</f>
        <v>#REF!</v>
      </c>
      <c r="I45" s="104" t="e">
        <f>I46</f>
        <v>#REF!</v>
      </c>
      <c r="J45" s="104"/>
      <c r="K45" s="104"/>
      <c r="L45" s="104" t="e">
        <f>SUM(L46:L46)</f>
        <v>#REF!</v>
      </c>
      <c r="M45" s="106" t="s">
        <v>105</v>
      </c>
      <c r="N45" s="108"/>
      <c r="O45" s="126" t="s">
        <v>100</v>
      </c>
      <c r="P45" s="108" t="s">
        <v>133</v>
      </c>
      <c r="Q45" s="108" t="s">
        <v>134</v>
      </c>
      <c r="R45" s="108" t="s">
        <v>135</v>
      </c>
      <c r="S45" s="108" t="s">
        <v>131</v>
      </c>
      <c r="T45" s="108" t="s">
        <v>132</v>
      </c>
      <c r="U45" s="108"/>
      <c r="V45" s="108"/>
      <c r="W45" s="108"/>
      <c r="X45" s="108"/>
      <c r="Y45" s="108"/>
      <c r="Z45" s="108"/>
      <c r="AA45" s="108"/>
      <c r="AB45" s="108"/>
      <c r="AC45" s="108"/>
    </row>
    <row r="46" spans="2:29" ht="27.95" customHeight="1">
      <c r="B46" s="102" t="s">
        <v>80</v>
      </c>
      <c r="C46" s="109"/>
      <c r="D46" s="110" t="s">
        <v>81</v>
      </c>
      <c r="E46" s="113" t="e">
        <f>O46/H46</f>
        <v>#REF!</v>
      </c>
      <c r="F46" s="104"/>
      <c r="G46" s="104"/>
      <c r="H46" s="104" t="e">
        <f>VLOOKUP(B46,#REF!,2,FALSE)</f>
        <v>#REF!</v>
      </c>
      <c r="I46" s="104" t="e">
        <f>ROUNDDOWN($E46*H46,)</f>
        <v>#REF!</v>
      </c>
      <c r="J46" s="104"/>
      <c r="K46" s="104"/>
      <c r="L46" s="104" t="e">
        <f>SUM(G46,I46,K46)</f>
        <v>#REF!</v>
      </c>
      <c r="M46" s="117"/>
      <c r="N46" s="108"/>
      <c r="O46" s="108" t="e">
        <f>P46/Q46*R46*(60*2*S46/T46+2)</f>
        <v>#REF!</v>
      </c>
      <c r="P46" s="108" t="e">
        <f>#REF!</f>
        <v>#REF!</v>
      </c>
      <c r="Q46" s="108">
        <v>360</v>
      </c>
      <c r="R46" s="108" t="e">
        <f>물량!#REF!/25</f>
        <v>#REF!</v>
      </c>
      <c r="S46" s="127">
        <v>0.04</v>
      </c>
      <c r="T46" s="108">
        <v>2</v>
      </c>
      <c r="U46" s="108"/>
      <c r="V46" s="108"/>
      <c r="W46" s="108"/>
      <c r="X46" s="108"/>
      <c r="Y46" s="108"/>
      <c r="Z46" s="108"/>
      <c r="AA46" s="108"/>
      <c r="AB46" s="108"/>
      <c r="AC46" s="108"/>
    </row>
    <row r="47" spans="2:29" ht="27.95" customHeight="1">
      <c r="B47" s="102"/>
      <c r="C47" s="109"/>
      <c r="D47" s="110"/>
      <c r="E47" s="128"/>
      <c r="F47" s="104"/>
      <c r="G47" s="104"/>
      <c r="H47" s="104"/>
      <c r="I47" s="104"/>
      <c r="J47" s="104"/>
      <c r="K47" s="104"/>
      <c r="L47" s="104"/>
      <c r="M47" s="117"/>
      <c r="N47" s="108"/>
      <c r="O47" s="108"/>
      <c r="P47" s="108"/>
      <c r="Q47" s="108"/>
      <c r="R47" s="108"/>
      <c r="S47" s="127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</row>
    <row r="48" spans="2:29" ht="27.95" customHeight="1">
      <c r="B48" s="102" t="s">
        <v>107</v>
      </c>
      <c r="C48" s="109"/>
      <c r="D48" s="110" t="s">
        <v>106</v>
      </c>
      <c r="E48" s="129" t="e">
        <f>물량!#REF!/1000/2.1</f>
        <v>#REF!</v>
      </c>
      <c r="F48" s="104"/>
      <c r="G48" s="104"/>
      <c r="H48" s="104" t="e">
        <f>I48/E48</f>
        <v>#REF!</v>
      </c>
      <c r="I48" s="104" t="e">
        <f>SUM(I49:I50)</f>
        <v>#REF!</v>
      </c>
      <c r="J48" s="104"/>
      <c r="K48" s="104"/>
      <c r="L48" s="104" t="e">
        <f>SUM(L49:L50)</f>
        <v>#REF!</v>
      </c>
      <c r="M48" s="106" t="s">
        <v>127</v>
      </c>
      <c r="O48" s="108"/>
    </row>
    <row r="49" spans="2:15" ht="27.95" customHeight="1">
      <c r="B49" s="102" t="s">
        <v>99</v>
      </c>
      <c r="C49" s="109"/>
      <c r="D49" s="110" t="s">
        <v>81</v>
      </c>
      <c r="E49" s="130" t="e">
        <f>E48*N49</f>
        <v>#REF!</v>
      </c>
      <c r="F49" s="104"/>
      <c r="G49" s="104"/>
      <c r="H49" s="104" t="e">
        <f>VLOOKUP(B49,#REF!,2,FALSE)</f>
        <v>#REF!</v>
      </c>
      <c r="I49" s="104" t="e">
        <f>ROUNDDOWN($E49*H49,)</f>
        <v>#REF!</v>
      </c>
      <c r="J49" s="104"/>
      <c r="K49" s="104"/>
      <c r="L49" s="104" t="e">
        <f>SUM(G49,I49,K49)</f>
        <v>#REF!</v>
      </c>
      <c r="M49" s="117"/>
      <c r="N49" s="92">
        <v>0.85</v>
      </c>
      <c r="O49" s="108"/>
    </row>
    <row r="50" spans="2:15" ht="27.95" customHeight="1">
      <c r="B50" s="102" t="s">
        <v>80</v>
      </c>
      <c r="C50" s="109"/>
      <c r="D50" s="110" t="s">
        <v>81</v>
      </c>
      <c r="E50" s="130" t="e">
        <f>E48*N50</f>
        <v>#REF!</v>
      </c>
      <c r="F50" s="104"/>
      <c r="G50" s="104"/>
      <c r="H50" s="104" t="e">
        <f>VLOOKUP(B50,#REF!,2,FALSE)</f>
        <v>#REF!</v>
      </c>
      <c r="I50" s="104" t="e">
        <f>ROUNDDOWN($E50*H50,)</f>
        <v>#REF!</v>
      </c>
      <c r="J50" s="104"/>
      <c r="K50" s="104"/>
      <c r="L50" s="104" t="e">
        <f>SUM(G50,I50,K50)</f>
        <v>#REF!</v>
      </c>
      <c r="M50" s="117"/>
      <c r="N50" s="92">
        <v>0.82</v>
      </c>
      <c r="O50" s="108"/>
    </row>
    <row r="51" spans="2:15" ht="27.95" customHeight="1">
      <c r="B51" s="102"/>
      <c r="C51" s="109"/>
      <c r="D51" s="110"/>
      <c r="E51" s="125"/>
      <c r="F51" s="104"/>
      <c r="G51" s="104"/>
      <c r="H51" s="104"/>
      <c r="I51" s="104"/>
      <c r="J51" s="104"/>
      <c r="K51" s="104"/>
      <c r="L51" s="104"/>
      <c r="M51" s="117"/>
      <c r="O51" s="108"/>
    </row>
    <row r="52" spans="2:15" ht="27.95" customHeight="1">
      <c r="B52" s="102" t="s">
        <v>108</v>
      </c>
      <c r="C52" s="109"/>
      <c r="D52" s="110" t="s">
        <v>106</v>
      </c>
      <c r="E52" s="114" t="e">
        <f>E48</f>
        <v>#REF!</v>
      </c>
      <c r="F52" s="104" t="e">
        <f>G52/E52</f>
        <v>#REF!</v>
      </c>
      <c r="G52" s="104" t="e">
        <f>SUM(G53:G56)</f>
        <v>#REF!</v>
      </c>
      <c r="H52" s="104" t="e">
        <f>I52/E52</f>
        <v>#REF!</v>
      </c>
      <c r="I52" s="104" t="e">
        <f>SUM(I53:I56)</f>
        <v>#REF!</v>
      </c>
      <c r="J52" s="104" t="e">
        <f>K52/E52</f>
        <v>#REF!</v>
      </c>
      <c r="K52" s="104" t="e">
        <f>SUM(K53:K56)</f>
        <v>#REF!</v>
      </c>
      <c r="L52" s="104" t="e">
        <f>SUM(L53:L56)</f>
        <v>#REF!</v>
      </c>
      <c r="M52" s="106" t="s">
        <v>128</v>
      </c>
      <c r="O52" s="108"/>
    </row>
    <row r="53" spans="2:15" ht="27.95" customHeight="1">
      <c r="B53" s="102" t="s">
        <v>109</v>
      </c>
      <c r="C53" s="109"/>
      <c r="D53" s="110" t="s">
        <v>81</v>
      </c>
      <c r="E53" s="130" t="e">
        <f>E52*N53</f>
        <v>#REF!</v>
      </c>
      <c r="F53" s="104"/>
      <c r="G53" s="104"/>
      <c r="H53" s="104" t="e">
        <f>VLOOKUP(B53,#REF!,2,FALSE)</f>
        <v>#REF!</v>
      </c>
      <c r="I53" s="104" t="e">
        <f>ROUNDDOWN($E53*H53,)</f>
        <v>#REF!</v>
      </c>
      <c r="J53" s="104"/>
      <c r="K53" s="104"/>
      <c r="L53" s="104" t="e">
        <f>SUM(G53,I53,K53)</f>
        <v>#REF!</v>
      </c>
      <c r="M53" s="117"/>
      <c r="N53" s="92">
        <v>0.94</v>
      </c>
      <c r="O53" s="108"/>
    </row>
    <row r="54" spans="2:15" ht="27.95" customHeight="1">
      <c r="B54" s="102" t="s">
        <v>80</v>
      </c>
      <c r="C54" s="109"/>
      <c r="D54" s="110" t="s">
        <v>81</v>
      </c>
      <c r="E54" s="130" t="e">
        <f>E52*N54</f>
        <v>#REF!</v>
      </c>
      <c r="F54" s="104"/>
      <c r="G54" s="104"/>
      <c r="H54" s="104" t="e">
        <f>VLOOKUP(B54,#REF!,2,FALSE)</f>
        <v>#REF!</v>
      </c>
      <c r="I54" s="104" t="e">
        <f>ROUNDDOWN($E54*H54,)</f>
        <v>#REF!</v>
      </c>
      <c r="J54" s="104"/>
      <c r="K54" s="104"/>
      <c r="L54" s="104" t="e">
        <f>SUM(G54,I54,K54)</f>
        <v>#REF!</v>
      </c>
      <c r="M54" s="117"/>
      <c r="N54" s="92">
        <v>0.48</v>
      </c>
      <c r="O54" s="108"/>
    </row>
    <row r="55" spans="2:15" ht="27.95" customHeight="1">
      <c r="B55" s="102" t="s">
        <v>110</v>
      </c>
      <c r="C55" s="109" t="s">
        <v>113</v>
      </c>
      <c r="D55" s="110" t="s">
        <v>111</v>
      </c>
      <c r="E55" s="131" t="e">
        <f>E52*N55</f>
        <v>#REF!</v>
      </c>
      <c r="F55" s="104">
        <v>16804</v>
      </c>
      <c r="G55" s="104" t="e">
        <f>E55*F55</f>
        <v>#REF!</v>
      </c>
      <c r="H55" s="104">
        <v>47848</v>
      </c>
      <c r="I55" s="104" t="e">
        <f>ROUNDDOWN($E55*H55,)</f>
        <v>#REF!</v>
      </c>
      <c r="J55" s="104">
        <v>3162</v>
      </c>
      <c r="K55" s="104" t="e">
        <f>E55*J55</f>
        <v>#REF!</v>
      </c>
      <c r="L55" s="104" t="e">
        <f>SUM(G55,I55,K55)</f>
        <v>#REF!</v>
      </c>
      <c r="M55" s="117"/>
      <c r="N55" s="92">
        <v>0.96</v>
      </c>
      <c r="O55" s="108"/>
    </row>
    <row r="56" spans="2:15" ht="27.95" customHeight="1">
      <c r="B56" s="102" t="s">
        <v>112</v>
      </c>
      <c r="C56" s="109" t="s">
        <v>114</v>
      </c>
      <c r="D56" s="110" t="s">
        <v>111</v>
      </c>
      <c r="E56" s="131" t="e">
        <f>E52*N56</f>
        <v>#REF!</v>
      </c>
      <c r="F56" s="104"/>
      <c r="G56" s="104"/>
      <c r="H56" s="104"/>
      <c r="I56" s="104"/>
      <c r="J56" s="104">
        <v>439</v>
      </c>
      <c r="K56" s="104" t="e">
        <f>E56*J56</f>
        <v>#REF!</v>
      </c>
      <c r="L56" s="104" t="e">
        <f>SUM(G56,I56,K56)</f>
        <v>#REF!</v>
      </c>
      <c r="M56" s="117"/>
      <c r="N56" s="92">
        <v>15.6</v>
      </c>
      <c r="O56" s="108"/>
    </row>
    <row r="57" spans="2:15" ht="27.95" customHeight="1">
      <c r="B57" s="102"/>
      <c r="C57" s="109"/>
      <c r="D57" s="110"/>
      <c r="E57" s="131"/>
      <c r="F57" s="104"/>
      <c r="G57" s="104"/>
      <c r="H57" s="104"/>
      <c r="I57" s="104"/>
      <c r="J57" s="104"/>
      <c r="K57" s="104"/>
      <c r="L57" s="104"/>
      <c r="M57" s="117"/>
      <c r="O57" s="108"/>
    </row>
    <row r="58" spans="2:15" ht="27.95" customHeight="1">
      <c r="B58" s="102" t="s">
        <v>122</v>
      </c>
      <c r="C58" s="109"/>
      <c r="D58" s="110" t="s">
        <v>90</v>
      </c>
      <c r="E58" s="131">
        <f>(6*2+6*0.3*2+6*0.2*2+2*0.3+2*0.2*3)</f>
        <v>19.8</v>
      </c>
      <c r="F58" s="104">
        <f>G58/E58</f>
        <v>29833.949999999997</v>
      </c>
      <c r="G58" s="104">
        <f>SUM(G59:G65)</f>
        <v>590712.21</v>
      </c>
      <c r="H58" s="104" t="e">
        <f>I58/E58</f>
        <v>#REF!</v>
      </c>
      <c r="I58" s="104" t="e">
        <f>SUM(I59:I65)</f>
        <v>#REF!</v>
      </c>
      <c r="J58" s="104"/>
      <c r="K58" s="104"/>
      <c r="L58" s="104" t="e">
        <f>SUM(L59:L65)</f>
        <v>#REF!</v>
      </c>
      <c r="M58" s="106" t="s">
        <v>129</v>
      </c>
      <c r="O58" s="108"/>
    </row>
    <row r="59" spans="2:15" ht="27.95" customHeight="1">
      <c r="B59" s="102" t="s">
        <v>115</v>
      </c>
      <c r="C59" s="109"/>
      <c r="D59" s="110" t="s">
        <v>123</v>
      </c>
      <c r="E59" s="131">
        <f>E58*N59</f>
        <v>5.94</v>
      </c>
      <c r="F59" s="104">
        <v>4800</v>
      </c>
      <c r="G59" s="104">
        <f>E59*F59</f>
        <v>28512.000000000004</v>
      </c>
      <c r="H59" s="104"/>
      <c r="I59" s="104"/>
      <c r="J59" s="104"/>
      <c r="K59" s="104"/>
      <c r="L59" s="104">
        <f t="shared" ref="L59:L65" si="3">SUM(G59,I59,K59)</f>
        <v>28512.000000000004</v>
      </c>
      <c r="M59" s="117"/>
      <c r="N59" s="92">
        <v>0.3</v>
      </c>
      <c r="O59" s="108"/>
    </row>
    <row r="60" spans="2:15" ht="27.95" customHeight="1">
      <c r="B60" s="102" t="s">
        <v>116</v>
      </c>
      <c r="C60" s="109"/>
      <c r="D60" s="110" t="s">
        <v>123</v>
      </c>
      <c r="E60" s="131">
        <f>E58*N60</f>
        <v>71.28</v>
      </c>
      <c r="F60" s="104">
        <v>7200</v>
      </c>
      <c r="G60" s="104">
        <f>E60*F60</f>
        <v>513216</v>
      </c>
      <c r="H60" s="104"/>
      <c r="I60" s="104"/>
      <c r="J60" s="104"/>
      <c r="K60" s="104"/>
      <c r="L60" s="104">
        <f t="shared" si="3"/>
        <v>513216</v>
      </c>
      <c r="M60" s="117"/>
      <c r="N60" s="92">
        <v>3.6</v>
      </c>
      <c r="O60" s="108"/>
    </row>
    <row r="61" spans="2:15" ht="27.95" customHeight="1">
      <c r="B61" s="102" t="s">
        <v>117</v>
      </c>
      <c r="C61" s="109"/>
      <c r="D61" s="110" t="s">
        <v>123</v>
      </c>
      <c r="E61" s="131">
        <f>E58*N61</f>
        <v>5.94</v>
      </c>
      <c r="F61" s="104">
        <v>2600</v>
      </c>
      <c r="G61" s="104">
        <f>E61*F61</f>
        <v>15444.000000000002</v>
      </c>
      <c r="H61" s="104"/>
      <c r="I61" s="104"/>
      <c r="J61" s="104"/>
      <c r="K61" s="104"/>
      <c r="L61" s="104">
        <f t="shared" si="3"/>
        <v>15444.000000000002</v>
      </c>
      <c r="M61" s="117"/>
      <c r="N61" s="92">
        <v>0.3</v>
      </c>
      <c r="O61" s="108"/>
    </row>
    <row r="62" spans="2:15" ht="27.95" customHeight="1">
      <c r="B62" s="102" t="s">
        <v>118</v>
      </c>
      <c r="C62" s="109"/>
      <c r="D62" s="110" t="s">
        <v>123</v>
      </c>
      <c r="E62" s="131">
        <f>E58*N62</f>
        <v>2.97</v>
      </c>
      <c r="F62" s="104">
        <v>5500</v>
      </c>
      <c r="G62" s="104">
        <f>E62*F62</f>
        <v>16335.000000000002</v>
      </c>
      <c r="H62" s="104"/>
      <c r="I62" s="104"/>
      <c r="J62" s="104"/>
      <c r="K62" s="104"/>
      <c r="L62" s="104">
        <f t="shared" si="3"/>
        <v>16335.000000000002</v>
      </c>
      <c r="M62" s="117"/>
      <c r="N62" s="92">
        <v>0.15</v>
      </c>
      <c r="O62" s="108"/>
    </row>
    <row r="63" spans="2:15" ht="27.95" customHeight="1">
      <c r="B63" s="102" t="s">
        <v>119</v>
      </c>
      <c r="C63" s="112" t="s">
        <v>124</v>
      </c>
      <c r="D63" s="110" t="s">
        <v>91</v>
      </c>
      <c r="E63" s="132">
        <v>1</v>
      </c>
      <c r="F63" s="104"/>
      <c r="G63" s="104">
        <f>SUM(G59:G62)*N63</f>
        <v>17205.21</v>
      </c>
      <c r="H63" s="104"/>
      <c r="I63" s="104"/>
      <c r="J63" s="104"/>
      <c r="K63" s="104"/>
      <c r="L63" s="104">
        <f t="shared" si="3"/>
        <v>17205.21</v>
      </c>
      <c r="M63" s="117"/>
      <c r="N63" s="92">
        <v>0.03</v>
      </c>
      <c r="O63" s="108"/>
    </row>
    <row r="64" spans="2:15" ht="27.95" customHeight="1">
      <c r="B64" s="102" t="s">
        <v>120</v>
      </c>
      <c r="C64" s="109"/>
      <c r="D64" s="110" t="s">
        <v>81</v>
      </c>
      <c r="E64" s="132">
        <f>E58*N64</f>
        <v>1.3860000000000001</v>
      </c>
      <c r="F64" s="104"/>
      <c r="G64" s="104"/>
      <c r="H64" s="104" t="e">
        <f>VLOOKUP(B64,#REF!,2,FALSE)</f>
        <v>#REF!</v>
      </c>
      <c r="I64" s="104" t="e">
        <f>ROUNDDOWN($E64*H64,)</f>
        <v>#REF!</v>
      </c>
      <c r="J64" s="104"/>
      <c r="K64" s="104"/>
      <c r="L64" s="104" t="e">
        <f t="shared" si="3"/>
        <v>#REF!</v>
      </c>
      <c r="M64" s="117"/>
      <c r="N64" s="92">
        <v>7.0000000000000007E-2</v>
      </c>
      <c r="O64" s="108"/>
    </row>
    <row r="65" spans="2:15" ht="27.95" customHeight="1">
      <c r="B65" s="102" t="s">
        <v>80</v>
      </c>
      <c r="C65" s="109"/>
      <c r="D65" s="110" t="s">
        <v>81</v>
      </c>
      <c r="E65" s="132">
        <f>E58*N65</f>
        <v>0.79200000000000004</v>
      </c>
      <c r="F65" s="104"/>
      <c r="G65" s="104"/>
      <c r="H65" s="104" t="e">
        <f>VLOOKUP(B65,#REF!,2,FALSE)</f>
        <v>#REF!</v>
      </c>
      <c r="I65" s="104" t="e">
        <f>ROUNDDOWN($E65*H65,)</f>
        <v>#REF!</v>
      </c>
      <c r="J65" s="104"/>
      <c r="K65" s="104"/>
      <c r="L65" s="104" t="e">
        <f t="shared" si="3"/>
        <v>#REF!</v>
      </c>
      <c r="M65" s="117"/>
      <c r="N65" s="92">
        <v>0.04</v>
      </c>
      <c r="O65" s="108"/>
    </row>
    <row r="66" spans="2:15" ht="27.95" customHeight="1">
      <c r="B66" s="102"/>
      <c r="C66" s="109"/>
      <c r="D66" s="110"/>
      <c r="E66" s="132"/>
      <c r="F66" s="104"/>
      <c r="G66" s="104"/>
      <c r="H66" s="104"/>
      <c r="I66" s="104"/>
      <c r="J66" s="104"/>
      <c r="K66" s="104"/>
      <c r="L66" s="104"/>
      <c r="M66" s="117"/>
      <c r="O66" s="108"/>
    </row>
    <row r="67" spans="2:15" ht="27.95" customHeight="1">
      <c r="B67" s="98" t="s">
        <v>181</v>
      </c>
      <c r="C67" s="109"/>
      <c r="D67" s="110"/>
      <c r="E67" s="114"/>
      <c r="F67" s="104"/>
      <c r="G67" s="104"/>
      <c r="H67" s="115"/>
      <c r="I67" s="104"/>
      <c r="J67" s="104"/>
      <c r="K67" s="104"/>
      <c r="L67" s="116" t="e">
        <f>L68+L71+L76</f>
        <v>#REF!</v>
      </c>
      <c r="M67" s="117"/>
      <c r="O67" s="108"/>
    </row>
    <row r="68" spans="2:15" ht="27.95" customHeight="1">
      <c r="B68" s="102" t="s">
        <v>146</v>
      </c>
      <c r="C68" s="109"/>
      <c r="D68" s="110" t="e">
        <f>물량!#REF!</f>
        <v>#REF!</v>
      </c>
      <c r="E68" s="124" t="e">
        <f>물량!#REF!</f>
        <v>#REF!</v>
      </c>
      <c r="F68" s="104" t="e">
        <f>G68/E68</f>
        <v>#REF!</v>
      </c>
      <c r="G68" s="104">
        <f>SUM(G69:G77)</f>
        <v>0</v>
      </c>
      <c r="H68" s="115" t="e">
        <f>I68/E68</f>
        <v>#REF!</v>
      </c>
      <c r="I68" s="104" t="e">
        <f>SUM(I69:I69)</f>
        <v>#REF!</v>
      </c>
      <c r="J68" s="104"/>
      <c r="K68" s="104"/>
      <c r="L68" s="104" t="e">
        <f>SUM(L69:L69)</f>
        <v>#REF!</v>
      </c>
      <c r="M68" s="106" t="s">
        <v>145</v>
      </c>
      <c r="O68" s="108"/>
    </row>
    <row r="69" spans="2:15" ht="27.95" customHeight="1">
      <c r="B69" s="102" t="s">
        <v>143</v>
      </c>
      <c r="C69" s="109"/>
      <c r="D69" s="110" t="s">
        <v>81</v>
      </c>
      <c r="E69" s="130" t="e">
        <f>E68*N69</f>
        <v>#REF!</v>
      </c>
      <c r="F69" s="104"/>
      <c r="G69" s="104"/>
      <c r="H69" s="104" t="e">
        <f>VLOOKUP(B69,#REF!,2,FALSE)</f>
        <v>#REF!</v>
      </c>
      <c r="I69" s="104" t="e">
        <f>ROUNDDOWN($E69*H69,1)</f>
        <v>#REF!</v>
      </c>
      <c r="J69" s="104"/>
      <c r="K69" s="104" t="e">
        <f>ROUNDDOWN($E69*J69,1)</f>
        <v>#REF!</v>
      </c>
      <c r="L69" s="104" t="e">
        <f t="shared" ref="L69:L77" si="4">SUM(G69,I69,K69)</f>
        <v>#REF!</v>
      </c>
      <c r="M69" s="117"/>
      <c r="N69" s="92">
        <v>2.48</v>
      </c>
      <c r="O69" s="108"/>
    </row>
    <row r="70" spans="2:15" ht="27.95" customHeight="1">
      <c r="B70" s="102"/>
      <c r="C70" s="109"/>
      <c r="D70" s="110"/>
      <c r="E70" s="124"/>
      <c r="F70" s="104"/>
      <c r="G70" s="104"/>
      <c r="H70" s="104"/>
      <c r="I70" s="104"/>
      <c r="J70" s="104"/>
      <c r="K70" s="104"/>
      <c r="L70" s="104"/>
      <c r="M70" s="117"/>
      <c r="O70" s="108"/>
    </row>
    <row r="71" spans="2:15" ht="27.95" customHeight="1">
      <c r="B71" s="102" t="s">
        <v>155</v>
      </c>
      <c r="C71" s="109"/>
      <c r="D71" s="110" t="e">
        <f>물량!#REF!</f>
        <v>#REF!</v>
      </c>
      <c r="E71" s="124" t="e">
        <f>물량!#REF!</f>
        <v>#REF!</v>
      </c>
      <c r="F71" s="104"/>
      <c r="G71" s="104"/>
      <c r="H71" s="104" t="e">
        <f>I71/E71</f>
        <v>#REF!</v>
      </c>
      <c r="I71" s="104" t="e">
        <f>SUM(I72:I74)</f>
        <v>#REF!</v>
      </c>
      <c r="J71" s="104"/>
      <c r="K71" s="104"/>
      <c r="L71" s="104" t="e">
        <f>SUM(L72:L74)</f>
        <v>#REF!</v>
      </c>
      <c r="M71" s="106" t="s">
        <v>147</v>
      </c>
      <c r="O71" s="108"/>
    </row>
    <row r="72" spans="2:15" ht="27.95" customHeight="1">
      <c r="B72" s="102" t="s">
        <v>143</v>
      </c>
      <c r="C72" s="109"/>
      <c r="D72" s="110" t="s">
        <v>81</v>
      </c>
      <c r="E72" s="128" t="e">
        <f>E68*N72*1.5</f>
        <v>#REF!</v>
      </c>
      <c r="F72" s="104"/>
      <c r="G72" s="104"/>
      <c r="H72" s="104" t="e">
        <f>VLOOKUP(B72,#REF!,2,FALSE)</f>
        <v>#REF!</v>
      </c>
      <c r="I72" s="104" t="e">
        <f>ROUNDDOWN($E72*H72,1)</f>
        <v>#REF!</v>
      </c>
      <c r="J72" s="104"/>
      <c r="K72" s="104"/>
      <c r="L72" s="104" t="e">
        <f t="shared" si="4"/>
        <v>#REF!</v>
      </c>
      <c r="M72" s="117"/>
      <c r="N72" s="92">
        <v>0.33</v>
      </c>
    </row>
    <row r="73" spans="2:15" ht="27.95" customHeight="1">
      <c r="B73" s="102" t="s">
        <v>88</v>
      </c>
      <c r="C73" s="109"/>
      <c r="D73" s="110" t="s">
        <v>81</v>
      </c>
      <c r="E73" s="128" t="e">
        <f>E68*N73*1.5</f>
        <v>#REF!</v>
      </c>
      <c r="F73" s="104"/>
      <c r="G73" s="104"/>
      <c r="H73" s="104" t="e">
        <f>VLOOKUP(B73,#REF!,2,FALSE)</f>
        <v>#REF!</v>
      </c>
      <c r="I73" s="104" t="e">
        <f>ROUNDDOWN($E73*H73,1)</f>
        <v>#REF!</v>
      </c>
      <c r="J73" s="104"/>
      <c r="K73" s="104" t="e">
        <f>ROUNDDOWN($E73*J73,1)</f>
        <v>#REF!</v>
      </c>
      <c r="L73" s="104" t="e">
        <f t="shared" si="4"/>
        <v>#REF!</v>
      </c>
      <c r="M73" s="117"/>
      <c r="N73" s="92">
        <v>0.14000000000000001</v>
      </c>
    </row>
    <row r="74" spans="2:15" ht="27.95" customHeight="1">
      <c r="B74" s="102" t="s">
        <v>144</v>
      </c>
      <c r="C74" s="112"/>
      <c r="D74" s="110" t="s">
        <v>81</v>
      </c>
      <c r="E74" s="128" t="e">
        <f>E68*N74*1.5</f>
        <v>#REF!</v>
      </c>
      <c r="F74" s="104"/>
      <c r="G74" s="104"/>
      <c r="H74" s="104" t="e">
        <f>VLOOKUP(B74,#REF!,2,FALSE)</f>
        <v>#REF!</v>
      </c>
      <c r="I74" s="104" t="e">
        <f>ROUNDDOWN($E74*H74,1)</f>
        <v>#REF!</v>
      </c>
      <c r="J74" s="104"/>
      <c r="K74" s="104" t="e">
        <f>ROUNDDOWN($E74*J74,1)</f>
        <v>#REF!</v>
      </c>
      <c r="L74" s="104" t="e">
        <f t="shared" si="4"/>
        <v>#REF!</v>
      </c>
      <c r="M74" s="117"/>
      <c r="N74" s="92">
        <v>7.0000000000000007E-2</v>
      </c>
    </row>
    <row r="75" spans="2:15" ht="27.95" customHeight="1">
      <c r="B75" s="102"/>
      <c r="C75" s="112"/>
      <c r="D75" s="110"/>
      <c r="E75" s="113"/>
      <c r="F75" s="104"/>
      <c r="G75" s="104"/>
      <c r="H75" s="104"/>
      <c r="I75" s="104"/>
      <c r="J75" s="104"/>
      <c r="K75" s="104"/>
      <c r="L75" s="104">
        <f t="shared" si="4"/>
        <v>0</v>
      </c>
      <c r="M75" s="117"/>
    </row>
    <row r="76" spans="2:15" ht="27.95" customHeight="1">
      <c r="B76" s="102" t="s">
        <v>173</v>
      </c>
      <c r="C76" s="109"/>
      <c r="D76" s="110" t="s">
        <v>174</v>
      </c>
      <c r="E76" s="113" t="e">
        <f>E68*200</f>
        <v>#REF!</v>
      </c>
      <c r="F76" s="104"/>
      <c r="G76" s="104"/>
      <c r="H76" s="104" t="e">
        <f>I76/E76</f>
        <v>#REF!</v>
      </c>
      <c r="I76" s="104" t="e">
        <f>SUM(I77:I77)</f>
        <v>#REF!</v>
      </c>
      <c r="J76" s="104"/>
      <c r="K76" s="104"/>
      <c r="L76" s="104" t="e">
        <f t="shared" si="4"/>
        <v>#REF!</v>
      </c>
      <c r="M76" s="106" t="s">
        <v>175</v>
      </c>
    </row>
    <row r="77" spans="2:15" ht="27.95" customHeight="1">
      <c r="B77" s="102" t="s">
        <v>163</v>
      </c>
      <c r="C77" s="109"/>
      <c r="D77" s="110" t="s">
        <v>81</v>
      </c>
      <c r="E77" s="113" t="e">
        <f>E76*N77*1.2</f>
        <v>#REF!</v>
      </c>
      <c r="F77" s="104"/>
      <c r="G77" s="104"/>
      <c r="H77" s="104" t="e">
        <f>VLOOKUP(B77,#REF!,2,FALSE)</f>
        <v>#REF!</v>
      </c>
      <c r="I77" s="104" t="e">
        <f>ROUNDDOWN($E77*H77,)</f>
        <v>#REF!</v>
      </c>
      <c r="J77" s="104"/>
      <c r="K77" s="104"/>
      <c r="L77" s="104" t="e">
        <f t="shared" si="4"/>
        <v>#REF!</v>
      </c>
      <c r="M77" s="117"/>
      <c r="N77" s="92">
        <v>3.5999999999999997E-2</v>
      </c>
      <c r="O77" s="108" t="s">
        <v>177</v>
      </c>
    </row>
    <row r="78" spans="2:15" ht="27.95" customHeight="1">
      <c r="B78" s="102"/>
      <c r="C78" s="109"/>
      <c r="D78" s="110"/>
      <c r="E78" s="132"/>
      <c r="F78" s="104"/>
      <c r="G78" s="104"/>
      <c r="H78" s="104"/>
      <c r="I78" s="104"/>
      <c r="J78" s="104"/>
      <c r="K78" s="104"/>
      <c r="L78" s="104"/>
      <c r="M78" s="117"/>
    </row>
    <row r="79" spans="2:15" ht="27.95" customHeight="1">
      <c r="B79" s="102"/>
      <c r="C79" s="109"/>
      <c r="D79" s="110"/>
      <c r="E79" s="132"/>
      <c r="F79" s="104"/>
      <c r="G79" s="104"/>
      <c r="H79" s="104"/>
      <c r="I79" s="104"/>
      <c r="J79" s="104"/>
      <c r="K79" s="104"/>
      <c r="L79" s="104"/>
      <c r="M79" s="117"/>
    </row>
    <row r="80" spans="2:15" ht="27.95" customHeight="1">
      <c r="B80" s="102"/>
      <c r="C80" s="109"/>
      <c r="D80" s="110"/>
      <c r="E80" s="132"/>
      <c r="F80" s="104"/>
      <c r="G80" s="104"/>
      <c r="H80" s="104"/>
      <c r="I80" s="104"/>
      <c r="J80" s="104"/>
      <c r="K80" s="104"/>
      <c r="L80" s="104"/>
      <c r="M80" s="117"/>
    </row>
    <row r="81" spans="2:13" ht="30" customHeight="1">
      <c r="B81" s="102"/>
      <c r="C81" s="109"/>
      <c r="D81" s="110"/>
      <c r="E81" s="114"/>
      <c r="F81" s="104"/>
      <c r="G81" s="104"/>
      <c r="H81" s="104"/>
      <c r="I81" s="104"/>
      <c r="J81" s="104"/>
      <c r="K81" s="104"/>
      <c r="L81" s="104"/>
      <c r="M81" s="117"/>
    </row>
  </sheetData>
  <autoFilter ref="B6:M25" xr:uid="{00000000-0009-0000-0000-000007000000}"/>
  <mergeCells count="7">
    <mergeCell ref="B2:M2"/>
    <mergeCell ref="M5:M6"/>
    <mergeCell ref="B5:B6"/>
    <mergeCell ref="C5:C6"/>
    <mergeCell ref="D5:D6"/>
    <mergeCell ref="E5:E6"/>
    <mergeCell ref="L5:L6"/>
  </mergeCells>
  <phoneticPr fontId="5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scale="67" fitToHeight="0" orientation="landscape" r:id="rId1"/>
  <headerFooter alignWithMargins="0"/>
  <ignoredErrors>
    <ignoredError sqref="H22 H37 H52 J52 H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11</vt:i4>
      </vt:variant>
    </vt:vector>
  </HeadingPairs>
  <TitlesOfParts>
    <vt:vector size="17" baseType="lpstr">
      <vt:lpstr>원가</vt:lpstr>
      <vt:lpstr>내역서</vt:lpstr>
      <vt:lpstr>물량</vt:lpstr>
      <vt:lpstr>일위대가</vt:lpstr>
      <vt:lpstr>내역서2222</vt:lpstr>
      <vt:lpstr>일위대가222</vt:lpstr>
      <vt:lpstr>내역서!Print_Area</vt:lpstr>
      <vt:lpstr>내역서2222!Print_Area</vt:lpstr>
      <vt:lpstr>물량!Print_Area</vt:lpstr>
      <vt:lpstr>원가!Print_Area</vt:lpstr>
      <vt:lpstr>일위대가!Print_Area</vt:lpstr>
      <vt:lpstr>일위대가222!Print_Area</vt:lpstr>
      <vt:lpstr>내역서!Print_Titles</vt:lpstr>
      <vt:lpstr>내역서2222!Print_Titles</vt:lpstr>
      <vt:lpstr>물량!Print_Titles</vt:lpstr>
      <vt:lpstr>일위대가!Print_Titles</vt:lpstr>
      <vt:lpstr>일위대가222!Print_Titles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정정일</dc:creator>
  <cp:lastModifiedBy>공영차고지(주유소)</cp:lastModifiedBy>
  <cp:lastPrinted>2022-08-04T02:17:20Z</cp:lastPrinted>
  <dcterms:created xsi:type="dcterms:W3CDTF">2003-06-27T01:17:42Z</dcterms:created>
  <dcterms:modified xsi:type="dcterms:W3CDTF">2022-09-01T02:19:12Z</dcterms:modified>
</cp:coreProperties>
</file>